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460" windowWidth="19660" windowHeight="15820" activeTab="0"/>
  </bookViews>
  <sheets>
    <sheet name="PG-Peer-Gruppe" sheetId="1" r:id="rId1"/>
    <sheet name="PG-Ermittlung Market Cap &amp; EV" sheetId="2" r:id="rId2"/>
    <sheet name="PG-Ermittlung Kennzahlen GuV" sheetId="3" r:id="rId3"/>
    <sheet name="PG-Zusammenfassung" sheetId="4" r:id="rId4"/>
    <sheet name="PG-Multiplikatoren Gruppierung" sheetId="5" r:id="rId5"/>
    <sheet name="Bewertung" sheetId="6" r:id="rId6"/>
    <sheet name="Wechselkurse" sheetId="7" r:id="rId7"/>
  </sheets>
  <definedNames>
    <definedName name="aaa">'PG-Zusammenfassung'!$I$28</definedName>
    <definedName name="Aktie" localSheetId="2">'PG-Ermittlung Kennzahlen GuV'!#REF!</definedName>
    <definedName name="Aktie">#REF!</definedName>
    <definedName name="bbb">'PG-Zusammenfassung'!$I$27</definedName>
    <definedName name="CAD">'Wechselkurse'!$C$5</definedName>
    <definedName name="_xlnm.Print_Area" localSheetId="2">'PG-Ermittlung Kennzahlen GuV'!$A$1:$CE$79</definedName>
    <definedName name="_xlnm.Print_Area" localSheetId="4">'PG-Multiplikatoren Gruppierung'!$A$1:$L$75</definedName>
    <definedName name="_xlnm.Print_Area" localSheetId="0">'PG-Peer-Gruppe'!$A$1:$E$24</definedName>
    <definedName name="_xlnm.Print_Area" localSheetId="3">'PG-Zusammenfassung'!$A$1:$BJ$50</definedName>
    <definedName name="_xlnm.Print_Titles" localSheetId="2">'PG-Ermittlung Kennzahlen GuV'!$A:$B</definedName>
    <definedName name="_xlnm.Print_Titles" localSheetId="4">'PG-Multiplikatoren Gruppierung'!$1:$3</definedName>
    <definedName name="_xlnm.Print_Titles" localSheetId="3">'PG-Zusammenfassung'!$A:$C,'PG-Zusammenfassung'!$1:$4</definedName>
    <definedName name="Enterprise" localSheetId="2">'PG-Ermittlung Kennzahlen GuV'!#REF!</definedName>
    <definedName name="Enterprise">#REF!</definedName>
    <definedName name="Equity" localSheetId="2">'PG-Ermittlung Kennzahlen GuV'!#REF!</definedName>
    <definedName name="Equity">#REF!</definedName>
    <definedName name="USD">'Wechselkurse'!$C$4</definedName>
    <definedName name="YEN">'Wechselkurse'!$C$6</definedName>
  </definedNames>
  <calcPr fullCalcOnLoad="1"/>
</workbook>
</file>

<file path=xl/sharedStrings.xml><?xml version="1.0" encoding="utf-8"?>
<sst xmlns="http://schemas.openxmlformats.org/spreadsheetml/2006/main" count="537" uniqueCount="135">
  <si>
    <t>WET Automotive</t>
  </si>
  <si>
    <t>Visteon</t>
  </si>
  <si>
    <t>Valeo</t>
  </si>
  <si>
    <t>TRW</t>
  </si>
  <si>
    <t>Michelin</t>
  </si>
  <si>
    <t>Magna</t>
  </si>
  <si>
    <t>Lear</t>
  </si>
  <si>
    <t>Kolbenschmidt Pierburg</t>
  </si>
  <si>
    <t>Grammer</t>
  </si>
  <si>
    <t>Faurecia</t>
  </si>
  <si>
    <t>Edscha</t>
  </si>
  <si>
    <t>Eaton</t>
  </si>
  <si>
    <t>Dana</t>
  </si>
  <si>
    <t>Delphi</t>
  </si>
  <si>
    <t>Denso</t>
  </si>
  <si>
    <t>Cummins</t>
  </si>
  <si>
    <t>Continental</t>
  </si>
  <si>
    <t>Borgwarner</t>
  </si>
  <si>
    <t>Beru</t>
  </si>
  <si>
    <t>Median</t>
  </si>
  <si>
    <t>Mittelwert</t>
  </si>
  <si>
    <t>Umsatz</t>
  </si>
  <si>
    <t>2002e</t>
  </si>
  <si>
    <t>2003e</t>
  </si>
  <si>
    <t>2004e</t>
  </si>
  <si>
    <t>EBITDA</t>
  </si>
  <si>
    <t>EBIT</t>
  </si>
  <si>
    <t>EPS</t>
  </si>
  <si>
    <t>Minority Interest</t>
  </si>
  <si>
    <t>Intangibles</t>
  </si>
  <si>
    <t>FAV</t>
  </si>
  <si>
    <t>Cash &amp; Near Cash</t>
  </si>
  <si>
    <t>Pension reserves</t>
  </si>
  <si>
    <t>Debt</t>
  </si>
  <si>
    <t>Magna*</t>
  </si>
  <si>
    <t>Market Cap</t>
  </si>
  <si>
    <t>Price</t>
  </si>
  <si>
    <t>TRW**</t>
  </si>
  <si>
    <t>**overfunded pension plan</t>
  </si>
  <si>
    <t>*preferred equity = 277 =&gt; Wandelschuldverschreibung =&gt; zinstragende Verbindlichkeit</t>
  </si>
  <si>
    <t xml:space="preserve">*** inkl. Wandelschuldverschreibung Tochtergesellschaften </t>
  </si>
  <si>
    <t>Cummins***</t>
  </si>
  <si>
    <t>Bloomberg*</t>
  </si>
  <si>
    <t>*Deutsche Bank, Schroder Salomon Smtih Barney &amp; HSBC Trinkaus &amp; Burckhardt / Berenberg eliminiert wegen zu hoher Schätzungen für 2003/2004 und M.M. Warburg wegen zu hoher Schätzungen für 2002/2003 und 2003/2004 und Inkonsistenz in den Schätzungen.</t>
  </si>
  <si>
    <t>Enterprise Value</t>
  </si>
  <si>
    <t>Kurs je Aktie</t>
  </si>
  <si>
    <t>(letzte Aktualisierung 19.8.2002)</t>
  </si>
  <si>
    <t>(Daten bis einschließlich 19.8.2002)</t>
  </si>
  <si>
    <t>letzter Jahresabschluss</t>
  </si>
  <si>
    <t>** EBIT-Schätzung unglaubwürdig, da die Margen nicht mehr passen</t>
  </si>
  <si>
    <t>n/a</t>
  </si>
  <si>
    <t>Comdirect*</t>
  </si>
  <si>
    <t>* Jahreszahl bei Comdirect gibt den Beginn des Geschäftsjahres wieder</t>
  </si>
  <si>
    <t>USD</t>
  </si>
  <si>
    <t>EUR</t>
  </si>
  <si>
    <t>** Alle Kennzahlen in Tausend Yen bis auf Kurs je Aktie und Ergebnis je Aktie (in Yen).</t>
  </si>
  <si>
    <t>TJPY**</t>
  </si>
  <si>
    <t>EV/Sales</t>
  </si>
  <si>
    <t>EV/EBITDA</t>
  </si>
  <si>
    <t>EV/EBIT</t>
  </si>
  <si>
    <t>KGV</t>
  </si>
  <si>
    <t>PEGR</t>
  </si>
  <si>
    <t>1999-2002</t>
  </si>
  <si>
    <t>CAGR</t>
  </si>
  <si>
    <t>EBITDA-Marge</t>
  </si>
  <si>
    <t>EBIT-Marge</t>
  </si>
  <si>
    <t>EAT</t>
  </si>
  <si>
    <t>Deutschland</t>
  </si>
  <si>
    <t>USA</t>
  </si>
  <si>
    <t>Japan</t>
  </si>
  <si>
    <t>Frankreich</t>
  </si>
  <si>
    <t>Kanada</t>
  </si>
  <si>
    <t>letzter veröffentlichter Jahresabschluss</t>
  </si>
  <si>
    <t>Hauptsitz</t>
  </si>
  <si>
    <t>Pensionsrückstellungen</t>
  </si>
  <si>
    <t>Anteile Dritter</t>
  </si>
  <si>
    <t>Liquide Mittel</t>
  </si>
  <si>
    <t>=</t>
  </si>
  <si>
    <t>Differenz zwischen MC und EV</t>
  </si>
  <si>
    <t>Beispiel GmbH</t>
  </si>
  <si>
    <t>in Mio. €</t>
  </si>
  <si>
    <t>JAP</t>
  </si>
  <si>
    <t>CAN</t>
  </si>
  <si>
    <t>USD/EUR</t>
  </si>
  <si>
    <t>CAD/EUR</t>
  </si>
  <si>
    <t>YEN/EUR</t>
  </si>
  <si>
    <t>EK</t>
  </si>
  <si>
    <t>FK</t>
  </si>
  <si>
    <t>EK-Quote</t>
  </si>
  <si>
    <t>Comdirect</t>
  </si>
  <si>
    <t>Wachstum</t>
  </si>
  <si>
    <t>2002 - 2003</t>
  </si>
  <si>
    <t>EV</t>
  </si>
  <si>
    <t>Beide</t>
  </si>
  <si>
    <t>Bloomberg</t>
  </si>
  <si>
    <t>Abweichungen Comdirect zu Bloomberg</t>
  </si>
  <si>
    <t>Minimum</t>
  </si>
  <si>
    <t>Maximum</t>
  </si>
  <si>
    <t>Europa</t>
  </si>
  <si>
    <t>Europa + Nordamerika</t>
  </si>
  <si>
    <t>Gesamt</t>
  </si>
  <si>
    <t xml:space="preserve">Umsatz </t>
  </si>
  <si>
    <t>Schulden</t>
  </si>
  <si>
    <t>Bezuggröße</t>
  </si>
  <si>
    <t>Differenz zwischen Equity Value und Enterprise Value</t>
  </si>
  <si>
    <t>Minderheitsbeteiligungen</t>
  </si>
  <si>
    <t>Multiplikatoren Deutschland</t>
  </si>
  <si>
    <t>Multiplikatoren Europa &amp; Nordamerika</t>
  </si>
  <si>
    <t>CDN</t>
  </si>
  <si>
    <t>Abgleich Schätzungen</t>
  </si>
  <si>
    <t>Währungen</t>
  </si>
  <si>
    <t>Mittelwert über ausgewählte Multiplikatoren</t>
  </si>
  <si>
    <t>Auswahl Multiplikator</t>
  </si>
  <si>
    <t>Geschäftsjahres-ende</t>
  </si>
  <si>
    <t>Verschuldungs-grad</t>
  </si>
  <si>
    <t>letztes Quartal</t>
  </si>
  <si>
    <t>Markt-kapitalisierung</t>
  </si>
  <si>
    <t>Verschuldungs-quote</t>
  </si>
  <si>
    <t>Equity
Value</t>
  </si>
  <si>
    <t>+</t>
  </si>
  <si>
    <t>-</t>
  </si>
  <si>
    <t>Gewichtung</t>
  </si>
  <si>
    <t>=&gt;</t>
  </si>
  <si>
    <t>gewichete Werte</t>
  </si>
  <si>
    <t>Vergleichsgruppe</t>
  </si>
  <si>
    <t>Europa &amp; Nord-amerika</t>
  </si>
  <si>
    <t>Deutsch-land</t>
  </si>
  <si>
    <t>Nordamerika</t>
  </si>
  <si>
    <t>Median (ohne negative und extreme Werte)</t>
  </si>
  <si>
    <t>Mittelwert (ohne negative und extreme Werte)</t>
  </si>
  <si>
    <t>Finanzanlagen</t>
  </si>
  <si>
    <t>Kasse</t>
  </si>
  <si>
    <t>Pensions-RSt.</t>
  </si>
  <si>
    <t>Finanzverb.</t>
  </si>
  <si>
    <t>EV/Umsatz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</si>
</sst>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mmm\ yyyy"/>
    <numFmt numFmtId="181" formatCode="mm/yyyy"/>
    <numFmt numFmtId="182" formatCode="mm/yy"/>
    <numFmt numFmtId="183" formatCode="##\ ###\ ###"/>
    <numFmt numFmtId="184" formatCode="#,##0\ [$€-1];[Red]\-#,##0\ [$€-1]"/>
    <numFmt numFmtId="185" formatCode="###\ ###\ ###"/>
    <numFmt numFmtId="186" formatCode="###\ ###\ ###\ &quot;Mio €&quot;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###.0\ ###\ ###"/>
    <numFmt numFmtId="191" formatCode="###.00\ ###\ ###"/>
    <numFmt numFmtId="192" formatCode="###.000\ ###\ ###"/>
    <numFmt numFmtId="193" formatCode="###.0000\ ###\ ###"/>
    <numFmt numFmtId="194" formatCode="###.00000\ ###\ ###"/>
    <numFmt numFmtId="195" formatCode="###.000000\ ###\ ###"/>
    <numFmt numFmtId="196" formatCode="###.0000000\ ###\ ###"/>
    <numFmt numFmtId="197" formatCode="###.00000000\ ###\ ###"/>
    <numFmt numFmtId="198" formatCode="###.000000000\ ###\ ###"/>
    <numFmt numFmtId="199" formatCode="###.0000000000\ ###\ ###"/>
    <numFmt numFmtId="200" formatCode="###.00000000000\ ###\ ###"/>
    <numFmt numFmtId="201" formatCode="###.\ ###\ ###"/>
    <numFmt numFmtId="202" formatCode="##.\ ###\ ###"/>
    <numFmt numFmtId="203" formatCode="#.\ ###\ ###"/>
    <numFmt numFmtId="204" formatCode=".\ ###\ ;########"/>
    <numFmt numFmtId="205" formatCode=".\ ###\ ;####################################################################################################################################################################################################################"/>
    <numFmt numFmtId="206" formatCode=".\ ##\ ;####################################################################################################################################################################################################################"/>
    <numFmt numFmtId="207" formatCode=".\ #\ ;####################################################################################################################################################################################################################"/>
    <numFmt numFmtId="208" formatCode="\ \ ;####################################################################################################################################################################################################################"/>
    <numFmt numFmtId="209" formatCode="\ \ ;####################################################################################################################################################################################################################.0"/>
    <numFmt numFmtId="210" formatCode="\ \ ;####################################################################################################################################################################################################################.00"/>
    <numFmt numFmtId="211" formatCode="\ \ ;####################################################################################################################################################################################################################.000"/>
    <numFmt numFmtId="212" formatCode="\ \ ;####################################################################################################################################################################################################################.0000"/>
    <numFmt numFmtId="213" formatCode="\ \ ;####################################################################################################################################################################################################################.00000"/>
    <numFmt numFmtId="214" formatCode="\ \ ;####################################################################################################################################################################################################################.000000"/>
    <numFmt numFmtId="215" formatCode=".\ ##\ ;########"/>
    <numFmt numFmtId="216" formatCode=".\ #\ ;########"/>
    <numFmt numFmtId="217" formatCode="\ \ ;########"/>
    <numFmt numFmtId="218" formatCode="0.000%"/>
    <numFmt numFmtId="219" formatCode="#,##0.0"/>
  </numFmts>
  <fonts count="44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2"/>
      </bottom>
    </border>
    <border>
      <left style="thin"/>
      <right style="thick">
        <color indexed="12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33" borderId="0" xfId="0" applyNumberFormat="1" applyFill="1" applyBorder="1" applyAlignment="1">
      <alignment/>
    </xf>
    <xf numFmtId="172" fontId="0" fillId="33" borderId="0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51" applyFont="1" applyBorder="1" applyAlignment="1">
      <alignment/>
    </xf>
    <xf numFmtId="17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79" fontId="0" fillId="0" borderId="0" xfId="51" applyNumberFormat="1" applyFont="1" applyFill="1" applyBorder="1" applyAlignment="1">
      <alignment/>
    </xf>
    <xf numFmtId="178" fontId="0" fillId="0" borderId="0" xfId="0" applyNumberFormat="1" applyBorder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9" fontId="0" fillId="0" borderId="0" xfId="51" applyNumberFormat="1" applyBorder="1" applyAlignment="1">
      <alignment/>
    </xf>
    <xf numFmtId="0" fontId="0" fillId="36" borderId="0" xfId="0" applyFill="1" applyBorder="1" applyAlignment="1">
      <alignment horizontal="center"/>
    </xf>
    <xf numFmtId="14" fontId="0" fillId="36" borderId="0" xfId="0" applyNumberForma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 quotePrefix="1">
      <alignment/>
    </xf>
    <xf numFmtId="172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172" fontId="0" fillId="0" borderId="15" xfId="0" applyNumberFormat="1" applyFont="1" applyBorder="1" applyAlignment="1">
      <alignment/>
    </xf>
    <xf numFmtId="0" fontId="0" fillId="0" borderId="15" xfId="0" applyFont="1" applyBorder="1" applyAlignment="1" quotePrefix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172" fontId="0" fillId="0" borderId="16" xfId="0" applyNumberFormat="1" applyFont="1" applyBorder="1" applyAlignment="1">
      <alignment horizontal="center"/>
    </xf>
    <xf numFmtId="172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2" fontId="0" fillId="0" borderId="16" xfId="0" applyNumberFormat="1" applyFont="1" applyBorder="1" applyAlignment="1">
      <alignment/>
    </xf>
    <xf numFmtId="0" fontId="8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172" fontId="0" fillId="0" borderId="15" xfId="0" applyNumberFormat="1" applyFont="1" applyFill="1" applyBorder="1" applyAlignment="1">
      <alignment/>
    </xf>
    <xf numFmtId="0" fontId="0" fillId="0" borderId="11" xfId="0" applyFont="1" applyBorder="1" applyAlignment="1">
      <alignment horizontal="left"/>
    </xf>
    <xf numFmtId="172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 horizontal="left" wrapText="1"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 quotePrefix="1">
      <alignment/>
    </xf>
    <xf numFmtId="172" fontId="0" fillId="0" borderId="12" xfId="0" applyNumberFormat="1" applyFont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2" fontId="0" fillId="0" borderId="15" xfId="0" applyNumberFormat="1" applyFont="1" applyBorder="1" applyAlignment="1">
      <alignment/>
    </xf>
    <xf numFmtId="172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 quotePrefix="1">
      <alignment horizontal="center"/>
    </xf>
    <xf numFmtId="0" fontId="0" fillId="37" borderId="11" xfId="0" applyFont="1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 horizontal="center"/>
    </xf>
    <xf numFmtId="0" fontId="0" fillId="37" borderId="15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 quotePrefix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172" fontId="0" fillId="0" borderId="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72" fontId="0" fillId="0" borderId="16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/>
    </xf>
    <xf numFmtId="172" fontId="0" fillId="0" borderId="15" xfId="0" applyNumberFormat="1" applyFont="1" applyFill="1" applyBorder="1" applyAlignment="1" quotePrefix="1">
      <alignment horizontal="center"/>
    </xf>
    <xf numFmtId="0" fontId="0" fillId="37" borderId="17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9" fontId="8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172" fontId="0" fillId="0" borderId="14" xfId="0" applyNumberFormat="1" applyFont="1" applyFill="1" applyBorder="1" applyAlignment="1">
      <alignment/>
    </xf>
    <xf numFmtId="0" fontId="0" fillId="37" borderId="26" xfId="0" applyFont="1" applyFill="1" applyBorder="1" applyAlignment="1">
      <alignment/>
    </xf>
    <xf numFmtId="9" fontId="8" fillId="0" borderId="27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172" fontId="0" fillId="0" borderId="27" xfId="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 horizontal="center"/>
    </xf>
    <xf numFmtId="172" fontId="0" fillId="0" borderId="26" xfId="0" applyNumberFormat="1" applyFont="1" applyFill="1" applyBorder="1" applyAlignment="1">
      <alignment horizontal="center"/>
    </xf>
    <xf numFmtId="172" fontId="0" fillId="0" borderId="28" xfId="0" applyNumberFormat="1" applyFont="1" applyFill="1" applyBorder="1" applyAlignment="1">
      <alignment/>
    </xf>
    <xf numFmtId="9" fontId="8" fillId="0" borderId="13" xfId="0" applyNumberFormat="1" applyFont="1" applyFill="1" applyBorder="1" applyAlignment="1">
      <alignment horizontal="center"/>
    </xf>
    <xf numFmtId="172" fontId="0" fillId="0" borderId="17" xfId="0" applyNumberFormat="1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Border="1" applyAlignment="1">
      <alignment/>
    </xf>
    <xf numFmtId="0" fontId="0" fillId="0" borderId="22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2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6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172" fontId="0" fillId="0" borderId="30" xfId="0" applyNumberFormat="1" applyBorder="1" applyAlignment="1">
      <alignment/>
    </xf>
    <xf numFmtId="172" fontId="0" fillId="0" borderId="31" xfId="0" applyNumberFormat="1" applyBorder="1" applyAlignment="1">
      <alignment/>
    </xf>
    <xf numFmtId="0" fontId="0" fillId="0" borderId="30" xfId="0" applyBorder="1" applyAlignment="1">
      <alignment/>
    </xf>
    <xf numFmtId="2" fontId="0" fillId="0" borderId="24" xfId="0" applyNumberFormat="1" applyBorder="1" applyAlignment="1">
      <alignment/>
    </xf>
    <xf numFmtId="172" fontId="0" fillId="0" borderId="24" xfId="0" applyNumberFormat="1" applyBorder="1" applyAlignment="1">
      <alignment/>
    </xf>
    <xf numFmtId="0" fontId="0" fillId="37" borderId="11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28" xfId="0" applyFill="1" applyBorder="1" applyAlignment="1">
      <alignment/>
    </xf>
    <xf numFmtId="1" fontId="0" fillId="37" borderId="14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0" fontId="0" fillId="36" borderId="0" xfId="0" applyFont="1" applyFill="1" applyAlignment="1">
      <alignment/>
    </xf>
    <xf numFmtId="2" fontId="0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79" fontId="0" fillId="0" borderId="0" xfId="51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85" fontId="0" fillId="37" borderId="10" xfId="0" applyNumberFormat="1" applyFont="1" applyFill="1" applyBorder="1" applyAlignment="1">
      <alignment/>
    </xf>
    <xf numFmtId="185" fontId="9" fillId="38" borderId="0" xfId="0" applyNumberFormat="1" applyFont="1" applyFill="1" applyBorder="1" applyAlignment="1">
      <alignment/>
    </xf>
    <xf numFmtId="185" fontId="9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36" borderId="0" xfId="0" applyNumberFormat="1" applyFont="1" applyFill="1" applyAlignment="1">
      <alignment/>
    </xf>
    <xf numFmtId="172" fontId="0" fillId="36" borderId="0" xfId="0" applyNumberFormat="1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179" fontId="0" fillId="0" borderId="24" xfId="0" applyNumberFormat="1" applyFont="1" applyBorder="1" applyAlignment="1">
      <alignment/>
    </xf>
    <xf numFmtId="172" fontId="0" fillId="0" borderId="24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1" xfId="0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1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172" fontId="0" fillId="0" borderId="2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172" fontId="0" fillId="0" borderId="25" xfId="0" applyNumberFormat="1" applyFont="1" applyBorder="1" applyAlignment="1">
      <alignment/>
    </xf>
    <xf numFmtId="185" fontId="0" fillId="0" borderId="21" xfId="0" applyNumberFormat="1" applyFont="1" applyBorder="1" applyAlignment="1">
      <alignment/>
    </xf>
    <xf numFmtId="179" fontId="0" fillId="0" borderId="21" xfId="51" applyNumberFormat="1" applyFont="1" applyBorder="1" applyAlignment="1">
      <alignment/>
    </xf>
    <xf numFmtId="179" fontId="0" fillId="0" borderId="22" xfId="51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9" fontId="0" fillId="0" borderId="22" xfId="5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2" fontId="0" fillId="37" borderId="22" xfId="0" applyNumberFormat="1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14" fontId="0" fillId="0" borderId="24" xfId="0" applyNumberForma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Fill="1" applyBorder="1" applyAlignment="1">
      <alignment/>
    </xf>
    <xf numFmtId="0" fontId="3" fillId="0" borderId="24" xfId="0" applyFont="1" applyBorder="1" applyAlignment="1">
      <alignment/>
    </xf>
    <xf numFmtId="0" fontId="0" fillId="0" borderId="34" xfId="0" applyFill="1" applyBorder="1" applyAlignment="1">
      <alignment horizontal="center"/>
    </xf>
    <xf numFmtId="2" fontId="0" fillId="0" borderId="34" xfId="0" applyNumberFormat="1" applyFill="1" applyBorder="1" applyAlignment="1">
      <alignment/>
    </xf>
    <xf numFmtId="0" fontId="1" fillId="0" borderId="34" xfId="0" applyFont="1" applyFill="1" applyBorder="1" applyAlignment="1">
      <alignment/>
    </xf>
    <xf numFmtId="2" fontId="0" fillId="0" borderId="22" xfId="0" applyNumberFormat="1" applyFill="1" applyBorder="1" applyAlignment="1">
      <alignment/>
    </xf>
    <xf numFmtId="0" fontId="0" fillId="36" borderId="22" xfId="0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0" borderId="22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0" xfId="0" applyNumberFormat="1" applyBorder="1" applyAlignment="1">
      <alignment/>
    </xf>
    <xf numFmtId="172" fontId="0" fillId="0" borderId="22" xfId="0" applyNumberFormat="1" applyFill="1" applyBorder="1" applyAlignment="1">
      <alignment/>
    </xf>
    <xf numFmtId="9" fontId="0" fillId="0" borderId="22" xfId="51" applyFont="1" applyBorder="1" applyAlignment="1">
      <alignment/>
    </xf>
    <xf numFmtId="2" fontId="0" fillId="33" borderId="22" xfId="0" applyNumberFormat="1" applyFill="1" applyBorder="1" applyAlignment="1">
      <alignment/>
    </xf>
    <xf numFmtId="172" fontId="0" fillId="0" borderId="22" xfId="0" applyNumberFormat="1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17" xfId="0" applyFont="1" applyFill="1" applyBorder="1" applyAlignment="1">
      <alignment horizontal="center" wrapText="1"/>
    </xf>
    <xf numFmtId="0" fontId="0" fillId="37" borderId="16" xfId="0" applyFont="1" applyFill="1" applyBorder="1" applyAlignment="1">
      <alignment horizontal="center" wrapText="1"/>
    </xf>
    <xf numFmtId="0" fontId="0" fillId="37" borderId="12" xfId="0" applyFont="1" applyFill="1" applyBorder="1" applyAlignment="1">
      <alignment horizontal="center" wrapText="1"/>
    </xf>
    <xf numFmtId="0" fontId="0" fillId="37" borderId="15" xfId="0" applyFont="1" applyFill="1" applyBorder="1" applyAlignment="1">
      <alignment horizontal="center" wrapText="1"/>
    </xf>
    <xf numFmtId="172" fontId="0" fillId="0" borderId="10" xfId="0" applyNumberFormat="1" applyFont="1" applyFill="1" applyBorder="1" applyAlignment="1" quotePrefix="1">
      <alignment horizontal="center"/>
    </xf>
    <xf numFmtId="172" fontId="0" fillId="0" borderId="13" xfId="0" applyNumberFormat="1" applyFont="1" applyFill="1" applyBorder="1" applyAlignment="1" quotePrefix="1">
      <alignment horizontal="center"/>
    </xf>
    <xf numFmtId="0" fontId="0" fillId="37" borderId="10" xfId="0" applyFont="1" applyFill="1" applyBorder="1" applyAlignment="1">
      <alignment horizontal="center" wrapText="1"/>
    </xf>
    <xf numFmtId="0" fontId="0" fillId="37" borderId="13" xfId="0" applyFont="1" applyFill="1" applyBorder="1" applyAlignment="1">
      <alignment horizontal="center" wrapText="1"/>
    </xf>
    <xf numFmtId="0" fontId="0" fillId="37" borderId="14" xfId="0" applyFont="1" applyFill="1" applyBorder="1" applyAlignment="1">
      <alignment horizontal="center" wrapText="1"/>
    </xf>
    <xf numFmtId="172" fontId="0" fillId="0" borderId="14" xfId="0" applyNumberFormat="1" applyFont="1" applyFill="1" applyBorder="1" applyAlignment="1">
      <alignment horizontal="center"/>
    </xf>
    <xf numFmtId="172" fontId="0" fillId="0" borderId="16" xfId="0" applyNumberFormat="1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 wrapText="1"/>
    </xf>
    <xf numFmtId="0" fontId="0" fillId="37" borderId="28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172" fontId="0" fillId="0" borderId="14" xfId="0" applyNumberFormat="1" applyFont="1" applyFill="1" applyBorder="1" applyAlignment="1" quotePrefix="1">
      <alignment horizontal="center"/>
    </xf>
    <xf numFmtId="172" fontId="0" fillId="0" borderId="16" xfId="0" applyNumberFormat="1" applyFont="1" applyFill="1" applyBorder="1" applyAlignment="1" quotePrefix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B2B2B2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01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selection activeCell="A1" sqref="A1"/>
    </sheetView>
  </sheetViews>
  <sheetFormatPr defaultColWidth="11.57421875" defaultRowHeight="21" customHeight="1"/>
  <cols>
    <col min="1" max="1" width="2.7109375" style="50" customWidth="1"/>
    <col min="2" max="2" width="30.7109375" style="50" bestFit="1" customWidth="1"/>
    <col min="3" max="4" width="15.7109375" style="50" customWidth="1"/>
    <col min="5" max="5" width="2.7109375" style="50" customWidth="1"/>
    <col min="6" max="16384" width="11.421875" style="50" customWidth="1"/>
  </cols>
  <sheetData>
    <row r="1" spans="1:5" ht="21" customHeight="1" thickTop="1">
      <c r="A1" s="236"/>
      <c r="B1" s="98"/>
      <c r="C1" s="98"/>
      <c r="D1" s="98"/>
      <c r="E1" s="99"/>
    </row>
    <row r="2" spans="1:5" ht="21" customHeight="1">
      <c r="A2" s="237"/>
      <c r="B2" s="4"/>
      <c r="C2" s="270" t="s">
        <v>72</v>
      </c>
      <c r="D2" s="270" t="s">
        <v>73</v>
      </c>
      <c r="E2" s="101"/>
    </row>
    <row r="3" spans="1:5" ht="21" customHeight="1">
      <c r="A3" s="237"/>
      <c r="B3" s="4"/>
      <c r="C3" s="270"/>
      <c r="D3" s="270"/>
      <c r="E3" s="101"/>
    </row>
    <row r="4" spans="1:5" ht="21" customHeight="1">
      <c r="A4" s="237"/>
      <c r="B4" s="4"/>
      <c r="C4" s="270"/>
      <c r="D4" s="270"/>
      <c r="E4" s="101"/>
    </row>
    <row r="5" spans="1:5" ht="21" customHeight="1">
      <c r="A5" s="237"/>
      <c r="B5" s="4" t="s">
        <v>18</v>
      </c>
      <c r="C5" s="5">
        <v>37346</v>
      </c>
      <c r="D5" s="4" t="s">
        <v>67</v>
      </c>
      <c r="E5" s="101"/>
    </row>
    <row r="6" spans="1:5" ht="21" customHeight="1">
      <c r="A6" s="237"/>
      <c r="B6" s="4" t="s">
        <v>17</v>
      </c>
      <c r="C6" s="5">
        <v>37256</v>
      </c>
      <c r="D6" s="4" t="s">
        <v>68</v>
      </c>
      <c r="E6" s="101"/>
    </row>
    <row r="7" spans="1:5" ht="21" customHeight="1">
      <c r="A7" s="237"/>
      <c r="B7" s="4" t="s">
        <v>16</v>
      </c>
      <c r="C7" s="5">
        <v>37256</v>
      </c>
      <c r="D7" s="4" t="s">
        <v>67</v>
      </c>
      <c r="E7" s="101"/>
    </row>
    <row r="8" spans="1:5" ht="21" customHeight="1">
      <c r="A8" s="237"/>
      <c r="B8" s="4" t="s">
        <v>15</v>
      </c>
      <c r="C8" s="5">
        <v>37256</v>
      </c>
      <c r="D8" s="4" t="s">
        <v>68</v>
      </c>
      <c r="E8" s="101"/>
    </row>
    <row r="9" spans="1:5" ht="21" customHeight="1">
      <c r="A9" s="237"/>
      <c r="B9" s="4" t="s">
        <v>12</v>
      </c>
      <c r="C9" s="5">
        <v>37256</v>
      </c>
      <c r="D9" s="4" t="s">
        <v>68</v>
      </c>
      <c r="E9" s="101"/>
    </row>
    <row r="10" spans="1:5" ht="21" customHeight="1">
      <c r="A10" s="237"/>
      <c r="B10" s="4" t="s">
        <v>13</v>
      </c>
      <c r="C10" s="5">
        <v>37256</v>
      </c>
      <c r="D10" s="4" t="s">
        <v>68</v>
      </c>
      <c r="E10" s="101"/>
    </row>
    <row r="11" spans="1:5" ht="21" customHeight="1">
      <c r="A11" s="237"/>
      <c r="B11" s="4" t="s">
        <v>14</v>
      </c>
      <c r="C11" s="5">
        <v>37346</v>
      </c>
      <c r="D11" s="4" t="s">
        <v>69</v>
      </c>
      <c r="E11" s="101"/>
    </row>
    <row r="12" spans="1:5" ht="21" customHeight="1">
      <c r="A12" s="237"/>
      <c r="B12" s="4" t="s">
        <v>11</v>
      </c>
      <c r="C12" s="5">
        <v>37256</v>
      </c>
      <c r="D12" s="4" t="s">
        <v>68</v>
      </c>
      <c r="E12" s="101"/>
    </row>
    <row r="13" spans="1:5" ht="21" customHeight="1">
      <c r="A13" s="237"/>
      <c r="B13" s="4" t="s">
        <v>10</v>
      </c>
      <c r="C13" s="5">
        <v>37072</v>
      </c>
      <c r="D13" s="4" t="s">
        <v>67</v>
      </c>
      <c r="E13" s="101"/>
    </row>
    <row r="14" spans="1:5" ht="21" customHeight="1">
      <c r="A14" s="237"/>
      <c r="B14" s="4" t="s">
        <v>9</v>
      </c>
      <c r="C14" s="5">
        <v>37256</v>
      </c>
      <c r="D14" s="4" t="s">
        <v>70</v>
      </c>
      <c r="E14" s="101"/>
    </row>
    <row r="15" spans="1:5" ht="21" customHeight="1">
      <c r="A15" s="237"/>
      <c r="B15" s="4" t="s">
        <v>8</v>
      </c>
      <c r="C15" s="5">
        <v>37256</v>
      </c>
      <c r="D15" s="4" t="s">
        <v>67</v>
      </c>
      <c r="E15" s="101"/>
    </row>
    <row r="16" spans="1:5" ht="21" customHeight="1">
      <c r="A16" s="237"/>
      <c r="B16" s="4" t="s">
        <v>7</v>
      </c>
      <c r="C16" s="5">
        <v>37256</v>
      </c>
      <c r="D16" s="4" t="s">
        <v>67</v>
      </c>
      <c r="E16" s="101"/>
    </row>
    <row r="17" spans="1:5" ht="21" customHeight="1">
      <c r="A17" s="237"/>
      <c r="B17" s="4" t="s">
        <v>6</v>
      </c>
      <c r="C17" s="5">
        <v>37256</v>
      </c>
      <c r="D17" s="4" t="s">
        <v>68</v>
      </c>
      <c r="E17" s="101"/>
    </row>
    <row r="18" spans="1:5" ht="21" customHeight="1">
      <c r="A18" s="237"/>
      <c r="B18" s="4" t="s">
        <v>5</v>
      </c>
      <c r="C18" s="5">
        <v>37256</v>
      </c>
      <c r="D18" s="4" t="s">
        <v>71</v>
      </c>
      <c r="E18" s="101"/>
    </row>
    <row r="19" spans="1:5" ht="21" customHeight="1">
      <c r="A19" s="237"/>
      <c r="B19" s="4" t="s">
        <v>4</v>
      </c>
      <c r="C19" s="5">
        <v>37256</v>
      </c>
      <c r="D19" s="4" t="s">
        <v>70</v>
      </c>
      <c r="E19" s="101"/>
    </row>
    <row r="20" spans="1:5" ht="21" customHeight="1">
      <c r="A20" s="237"/>
      <c r="B20" s="4" t="s">
        <v>3</v>
      </c>
      <c r="C20" s="5">
        <v>37256</v>
      </c>
      <c r="D20" s="4" t="s">
        <v>68</v>
      </c>
      <c r="E20" s="101"/>
    </row>
    <row r="21" spans="1:5" ht="21" customHeight="1">
      <c r="A21" s="237"/>
      <c r="B21" s="4" t="s">
        <v>2</v>
      </c>
      <c r="C21" s="5">
        <v>37256</v>
      </c>
      <c r="D21" s="4" t="s">
        <v>70</v>
      </c>
      <c r="E21" s="101"/>
    </row>
    <row r="22" spans="1:5" ht="21" customHeight="1">
      <c r="A22" s="237"/>
      <c r="B22" s="4" t="s">
        <v>1</v>
      </c>
      <c r="C22" s="5">
        <v>37256</v>
      </c>
      <c r="D22" s="4" t="s">
        <v>68</v>
      </c>
      <c r="E22" s="101"/>
    </row>
    <row r="23" spans="1:5" ht="21" customHeight="1">
      <c r="A23" s="237"/>
      <c r="B23" s="4" t="s">
        <v>0</v>
      </c>
      <c r="C23" s="5">
        <v>37072</v>
      </c>
      <c r="D23" s="4" t="s">
        <v>67</v>
      </c>
      <c r="E23" s="101"/>
    </row>
    <row r="24" spans="1:5" ht="21" customHeight="1" thickBot="1">
      <c r="A24" s="238"/>
      <c r="B24" s="140"/>
      <c r="C24" s="140"/>
      <c r="D24" s="140"/>
      <c r="E24" s="141"/>
    </row>
    <row r="25" ht="21" customHeight="1" thickTop="1"/>
  </sheetData>
  <sheetProtection/>
  <mergeCells count="2">
    <mergeCell ref="C2:C4"/>
    <mergeCell ref="D2:D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pane xSplit="2" ySplit="4" topLeftCell="I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57421875" defaultRowHeight="12.75"/>
  <cols>
    <col min="1" max="1" width="2.7109375" style="42" customWidth="1"/>
    <col min="2" max="2" width="30.7109375" style="42" customWidth="1"/>
    <col min="3" max="3" width="15.7109375" style="44" customWidth="1"/>
    <col min="4" max="4" width="15.7109375" style="48" customWidth="1"/>
    <col min="5" max="15" width="15.7109375" style="42" customWidth="1"/>
    <col min="16" max="16" width="2.7109375" style="42" customWidth="1"/>
    <col min="17" max="16384" width="11.421875" style="42" customWidth="1"/>
  </cols>
  <sheetData>
    <row r="1" spans="1:16" ht="13.5" thickTop="1">
      <c r="A1" s="239"/>
      <c r="B1" s="240"/>
      <c r="C1" s="142"/>
      <c r="D1" s="241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2"/>
    </row>
    <row r="2" spans="1:16" ht="12.75">
      <c r="A2" s="243"/>
      <c r="B2" s="3"/>
      <c r="C2" s="270" t="s">
        <v>113</v>
      </c>
      <c r="D2" s="270" t="s">
        <v>115</v>
      </c>
      <c r="E2" s="270" t="s">
        <v>29</v>
      </c>
      <c r="F2" s="270" t="s">
        <v>30</v>
      </c>
      <c r="G2" s="270" t="s">
        <v>31</v>
      </c>
      <c r="H2" s="270" t="s">
        <v>28</v>
      </c>
      <c r="I2" s="270" t="s">
        <v>32</v>
      </c>
      <c r="J2" s="270" t="s">
        <v>33</v>
      </c>
      <c r="K2" s="270" t="s">
        <v>36</v>
      </c>
      <c r="L2" s="270" t="s">
        <v>35</v>
      </c>
      <c r="M2" s="270" t="s">
        <v>44</v>
      </c>
      <c r="N2" s="270" t="s">
        <v>117</v>
      </c>
      <c r="O2" s="270" t="s">
        <v>114</v>
      </c>
      <c r="P2" s="148"/>
    </row>
    <row r="3" spans="1:16" ht="12.75">
      <c r="A3" s="243"/>
      <c r="B3" s="3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148"/>
    </row>
    <row r="4" spans="1:16" s="47" customFormat="1" ht="12.75">
      <c r="A4" s="244"/>
      <c r="B4" s="13"/>
      <c r="C4" s="14"/>
      <c r="D4" s="15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245"/>
    </row>
    <row r="5" spans="1:16" ht="18">
      <c r="A5" s="243"/>
      <c r="B5" s="1" t="s">
        <v>18</v>
      </c>
      <c r="C5" s="5">
        <v>37346</v>
      </c>
      <c r="D5" s="8">
        <v>37346</v>
      </c>
      <c r="E5" s="9">
        <v>16.4</v>
      </c>
      <c r="F5" s="9">
        <v>4</v>
      </c>
      <c r="G5" s="9">
        <f>80.205+27.027</f>
        <v>107.232</v>
      </c>
      <c r="H5" s="9">
        <v>2.2</v>
      </c>
      <c r="I5" s="9">
        <v>11.2</v>
      </c>
      <c r="J5" s="9">
        <f>22.897+1.528</f>
        <v>24.424999999999997</v>
      </c>
      <c r="K5" s="2">
        <v>44.1</v>
      </c>
      <c r="L5" s="6">
        <v>441</v>
      </c>
      <c r="M5" s="39">
        <f>+ROUND(L5,0)+ROUND(J5,0)+ROUND(I5,0)+ROUND(H5,0)-ROUND(G5,0)-ROUND(F5,0)</f>
        <v>367</v>
      </c>
      <c r="N5" s="46">
        <f aca="true" t="shared" si="0" ref="N5:N23">+J5/(L5+J5+H5)</f>
        <v>0.05223202352312215</v>
      </c>
      <c r="O5" s="46">
        <f aca="true" t="shared" si="1" ref="O5:O23">+N5/(1-N5)</f>
        <v>0.055110559566786996</v>
      </c>
      <c r="P5" s="148"/>
    </row>
    <row r="6" spans="1:16" ht="18">
      <c r="A6" s="243"/>
      <c r="B6" s="1" t="s">
        <v>17</v>
      </c>
      <c r="C6" s="5">
        <v>37256</v>
      </c>
      <c r="D6" s="8">
        <v>37437</v>
      </c>
      <c r="E6" s="9">
        <f>822.4+105.9</f>
        <v>928.3</v>
      </c>
      <c r="F6" s="9">
        <v>142.3</v>
      </c>
      <c r="G6" s="9">
        <v>30.2</v>
      </c>
      <c r="H6" s="9">
        <v>10.8</v>
      </c>
      <c r="I6" s="9">
        <v>399.8</v>
      </c>
      <c r="J6" s="9">
        <f>16.5+651.1</f>
        <v>667.6</v>
      </c>
      <c r="K6" s="2">
        <v>60.3</v>
      </c>
      <c r="L6" s="6">
        <v>1608.8</v>
      </c>
      <c r="M6" s="39">
        <f>+ROUND(L6,0)+ROUND(J6,0)+ROUND(I6,0)+ROUND(H6,0)-ROUND(G6,0)-ROUND(F6,0)</f>
        <v>2516</v>
      </c>
      <c r="N6" s="46">
        <f t="shared" si="0"/>
        <v>0.29188527457152846</v>
      </c>
      <c r="O6" s="46">
        <f t="shared" si="1"/>
        <v>0.4122005433440355</v>
      </c>
      <c r="P6" s="148"/>
    </row>
    <row r="7" spans="1:16" ht="18">
      <c r="A7" s="243"/>
      <c r="B7" s="1" t="s">
        <v>16</v>
      </c>
      <c r="C7" s="5">
        <v>37256</v>
      </c>
      <c r="D7" s="8">
        <v>37256</v>
      </c>
      <c r="E7" s="9">
        <v>1676.1</v>
      </c>
      <c r="F7" s="9">
        <v>159.9</v>
      </c>
      <c r="G7" s="9">
        <v>618.1</v>
      </c>
      <c r="H7" s="9">
        <v>101.4</v>
      </c>
      <c r="I7" s="9">
        <v>1202.2</v>
      </c>
      <c r="J7" s="9">
        <f>2566.4+652.8</f>
        <v>3219.2</v>
      </c>
      <c r="K7" s="2">
        <v>16.7</v>
      </c>
      <c r="L7" s="6">
        <v>2168.1</v>
      </c>
      <c r="M7" s="6">
        <f aca="true" t="shared" si="2" ref="M7:M23">+L7+J7+I7+H7-G7-F7</f>
        <v>5912.899999999999</v>
      </c>
      <c r="N7" s="46">
        <f t="shared" si="0"/>
        <v>0.5865141108094813</v>
      </c>
      <c r="O7" s="46">
        <f t="shared" si="1"/>
        <v>1.4184622163472134</v>
      </c>
      <c r="P7" s="148"/>
    </row>
    <row r="8" spans="1:16" ht="18">
      <c r="A8" s="243"/>
      <c r="B8" s="1" t="s">
        <v>41</v>
      </c>
      <c r="C8" s="5">
        <v>37256</v>
      </c>
      <c r="D8" s="8">
        <v>37437</v>
      </c>
      <c r="E8" s="9">
        <f>344+99</f>
        <v>443</v>
      </c>
      <c r="F8" s="9">
        <v>189</v>
      </c>
      <c r="G8" s="9">
        <v>101</v>
      </c>
      <c r="H8" s="9">
        <v>87</v>
      </c>
      <c r="I8" s="10">
        <f>621-97</f>
        <v>524</v>
      </c>
      <c r="J8" s="9">
        <f>68+291+789</f>
        <v>1148</v>
      </c>
      <c r="K8" s="2">
        <v>31.34</v>
      </c>
      <c r="L8" s="6">
        <v>1206.6</v>
      </c>
      <c r="M8" s="6">
        <f t="shared" si="2"/>
        <v>2675.6</v>
      </c>
      <c r="N8" s="46">
        <f t="shared" si="0"/>
        <v>0.4701834862385321</v>
      </c>
      <c r="O8" s="46">
        <f t="shared" si="1"/>
        <v>0.8874458874458875</v>
      </c>
      <c r="P8" s="148"/>
    </row>
    <row r="9" spans="1:16" ht="18">
      <c r="A9" s="243"/>
      <c r="B9" s="1" t="s">
        <v>12</v>
      </c>
      <c r="C9" s="5">
        <v>37256</v>
      </c>
      <c r="D9" s="8">
        <v>37437</v>
      </c>
      <c r="E9" s="11"/>
      <c r="F9" s="11">
        <v>2209</v>
      </c>
      <c r="G9" s="9">
        <v>318</v>
      </c>
      <c r="H9" s="9">
        <v>105</v>
      </c>
      <c r="I9" s="10">
        <f>922-7</f>
        <v>915</v>
      </c>
      <c r="J9" s="9">
        <f>1120+3008</f>
        <v>4128</v>
      </c>
      <c r="K9" s="2">
        <v>16.86</v>
      </c>
      <c r="L9" s="6">
        <v>2505.1</v>
      </c>
      <c r="M9" s="6">
        <f t="shared" si="2"/>
        <v>5126.1</v>
      </c>
      <c r="N9" s="46">
        <f t="shared" si="0"/>
        <v>0.612635609444799</v>
      </c>
      <c r="O9" s="46">
        <f t="shared" si="1"/>
        <v>1.5815485996705108</v>
      </c>
      <c r="P9" s="148"/>
    </row>
    <row r="10" spans="1:16" ht="18">
      <c r="A10" s="243"/>
      <c r="B10" s="1" t="s">
        <v>13</v>
      </c>
      <c r="C10" s="5">
        <v>37256</v>
      </c>
      <c r="D10" s="8">
        <v>37437</v>
      </c>
      <c r="E10" s="9">
        <v>674</v>
      </c>
      <c r="F10" s="9">
        <v>1611</v>
      </c>
      <c r="G10" s="9">
        <v>753</v>
      </c>
      <c r="H10" s="9">
        <v>0</v>
      </c>
      <c r="I10" s="9">
        <f>1898+4943</f>
        <v>6841</v>
      </c>
      <c r="J10" s="9">
        <f>1598+2064</f>
        <v>3662</v>
      </c>
      <c r="K10" s="2">
        <v>9.29</v>
      </c>
      <c r="L10" s="6">
        <v>5196.8</v>
      </c>
      <c r="M10" s="6">
        <f t="shared" si="2"/>
        <v>13335.8</v>
      </c>
      <c r="N10" s="46">
        <f t="shared" si="0"/>
        <v>0.4133742719104168</v>
      </c>
      <c r="O10" s="46">
        <f t="shared" si="1"/>
        <v>0.7046644088669951</v>
      </c>
      <c r="P10" s="148"/>
    </row>
    <row r="11" spans="1:16" ht="18">
      <c r="A11" s="243"/>
      <c r="B11" s="1" t="s">
        <v>14</v>
      </c>
      <c r="C11" s="5">
        <v>37346</v>
      </c>
      <c r="D11" s="8">
        <v>37346</v>
      </c>
      <c r="E11" s="9"/>
      <c r="F11" s="9">
        <v>600005</v>
      </c>
      <c r="G11" s="9">
        <f>277894+26594</f>
        <v>304488</v>
      </c>
      <c r="H11" s="9">
        <v>63465</v>
      </c>
      <c r="I11" s="9">
        <v>177382</v>
      </c>
      <c r="J11" s="9">
        <f>41723+34845+111134</f>
        <v>187702</v>
      </c>
      <c r="K11" s="2">
        <v>1770</v>
      </c>
      <c r="L11" s="6">
        <v>1533308</v>
      </c>
      <c r="M11" s="6">
        <f t="shared" si="2"/>
        <v>1057364</v>
      </c>
      <c r="N11" s="46">
        <f t="shared" si="0"/>
        <v>0.10518611916670169</v>
      </c>
      <c r="O11" s="46">
        <f t="shared" si="1"/>
        <v>0.11755083534102843</v>
      </c>
      <c r="P11" s="148"/>
    </row>
    <row r="12" spans="1:16" ht="18">
      <c r="A12" s="243"/>
      <c r="B12" s="1" t="s">
        <v>11</v>
      </c>
      <c r="C12" s="5">
        <v>37256</v>
      </c>
      <c r="D12" s="8">
        <v>37437</v>
      </c>
      <c r="E12" s="9">
        <f>1935+509</f>
        <v>2444</v>
      </c>
      <c r="F12" s="11"/>
      <c r="G12" s="9">
        <v>322</v>
      </c>
      <c r="H12" s="9">
        <v>0</v>
      </c>
      <c r="I12" s="9">
        <v>666</v>
      </c>
      <c r="J12" s="9">
        <f>344+1934</f>
        <v>2278</v>
      </c>
      <c r="K12" s="2">
        <v>72.83</v>
      </c>
      <c r="L12" s="6">
        <v>5134.5</v>
      </c>
      <c r="M12" s="6">
        <f t="shared" si="2"/>
        <v>7756.5</v>
      </c>
      <c r="N12" s="46">
        <f t="shared" si="0"/>
        <v>0.30731871838111297</v>
      </c>
      <c r="O12" s="46">
        <f t="shared" si="1"/>
        <v>0.44366540072061544</v>
      </c>
      <c r="P12" s="148"/>
    </row>
    <row r="13" spans="1:16" ht="18">
      <c r="A13" s="243"/>
      <c r="B13" s="1" t="s">
        <v>10</v>
      </c>
      <c r="C13" s="5">
        <v>37072</v>
      </c>
      <c r="D13" s="8">
        <v>37346</v>
      </c>
      <c r="E13" s="9">
        <v>180.5</v>
      </c>
      <c r="F13" s="9">
        <v>0.3</v>
      </c>
      <c r="G13" s="9">
        <f>1.173+9.609</f>
        <v>10.782</v>
      </c>
      <c r="H13" s="9">
        <v>0.3</v>
      </c>
      <c r="I13" s="9">
        <v>37.8</v>
      </c>
      <c r="J13" s="9">
        <f>184.481+15.691</f>
        <v>200.172</v>
      </c>
      <c r="K13" s="2">
        <v>23.9</v>
      </c>
      <c r="L13" s="6">
        <v>222.1</v>
      </c>
      <c r="M13" s="6">
        <f t="shared" si="2"/>
        <v>449.29</v>
      </c>
      <c r="N13" s="46">
        <f t="shared" si="0"/>
        <v>0.4736991565934326</v>
      </c>
      <c r="O13" s="46">
        <f t="shared" si="1"/>
        <v>0.9000539568345323</v>
      </c>
      <c r="P13" s="148"/>
    </row>
    <row r="14" spans="1:16" ht="18">
      <c r="A14" s="243"/>
      <c r="B14" s="1" t="s">
        <v>9</v>
      </c>
      <c r="C14" s="5">
        <v>37256</v>
      </c>
      <c r="D14" s="8">
        <v>37256</v>
      </c>
      <c r="E14" s="9">
        <f>1963+25.4</f>
        <v>1988.4</v>
      </c>
      <c r="F14" s="9">
        <f>27.9+13.5+27.7</f>
        <v>69.1</v>
      </c>
      <c r="G14" s="9">
        <f>7.1+526</f>
        <v>533.1</v>
      </c>
      <c r="H14" s="9">
        <v>47.3</v>
      </c>
      <c r="I14" s="9">
        <v>112.3</v>
      </c>
      <c r="J14" s="9">
        <f>809+1284.3+201.1</f>
        <v>2294.4</v>
      </c>
      <c r="K14" s="2">
        <v>46.6</v>
      </c>
      <c r="L14" s="6">
        <v>1126.2</v>
      </c>
      <c r="M14" s="6">
        <f t="shared" si="2"/>
        <v>2978.000000000001</v>
      </c>
      <c r="N14" s="46">
        <f t="shared" si="0"/>
        <v>0.6616107730903428</v>
      </c>
      <c r="O14" s="46">
        <f t="shared" si="1"/>
        <v>1.9551768214742218</v>
      </c>
      <c r="P14" s="148"/>
    </row>
    <row r="15" spans="1:16" ht="18">
      <c r="A15" s="243"/>
      <c r="B15" s="1" t="s">
        <v>8</v>
      </c>
      <c r="C15" s="5">
        <v>37256</v>
      </c>
      <c r="D15" s="8">
        <v>37437</v>
      </c>
      <c r="E15" s="9">
        <v>44.1</v>
      </c>
      <c r="F15" s="9">
        <v>9.6</v>
      </c>
      <c r="G15" s="9">
        <v>2.8</v>
      </c>
      <c r="H15" s="10">
        <v>2.2</v>
      </c>
      <c r="I15" s="10">
        <v>24.4</v>
      </c>
      <c r="J15" s="9">
        <f>60+84.3</f>
        <v>144.3</v>
      </c>
      <c r="K15" s="2">
        <v>14.11</v>
      </c>
      <c r="L15" s="6">
        <v>148.1</v>
      </c>
      <c r="M15" s="6">
        <f t="shared" si="2"/>
        <v>306.5999999999999</v>
      </c>
      <c r="N15" s="46">
        <f t="shared" si="0"/>
        <v>0.4898167006109981</v>
      </c>
      <c r="O15" s="46">
        <f t="shared" si="1"/>
        <v>0.9600798403193618</v>
      </c>
      <c r="P15" s="148"/>
    </row>
    <row r="16" spans="1:16" ht="18">
      <c r="A16" s="243"/>
      <c r="B16" s="1" t="s">
        <v>7</v>
      </c>
      <c r="C16" s="5">
        <v>37256</v>
      </c>
      <c r="D16" s="8">
        <v>37346</v>
      </c>
      <c r="E16" s="9">
        <v>53.5</v>
      </c>
      <c r="F16" s="9">
        <v>55.3</v>
      </c>
      <c r="G16" s="9">
        <v>27.2</v>
      </c>
      <c r="H16" s="9">
        <v>15.3</v>
      </c>
      <c r="I16" s="9">
        <v>288.4</v>
      </c>
      <c r="J16" s="9">
        <v>294.3</v>
      </c>
      <c r="K16" s="2">
        <v>9.22</v>
      </c>
      <c r="L16" s="6">
        <v>258.2</v>
      </c>
      <c r="M16" s="6">
        <f t="shared" si="2"/>
        <v>773.6999999999999</v>
      </c>
      <c r="N16" s="46">
        <f t="shared" si="0"/>
        <v>0.518316308559352</v>
      </c>
      <c r="O16" s="46">
        <f t="shared" si="1"/>
        <v>1.0760511882998176</v>
      </c>
      <c r="P16" s="148"/>
    </row>
    <row r="17" spans="1:16" ht="18">
      <c r="A17" s="243"/>
      <c r="B17" s="1" t="s">
        <v>6</v>
      </c>
      <c r="C17" s="5">
        <v>37256</v>
      </c>
      <c r="D17" s="8">
        <v>37436</v>
      </c>
      <c r="E17" s="9">
        <v>2828.8</v>
      </c>
      <c r="F17" s="11"/>
      <c r="G17" s="9">
        <v>99.7</v>
      </c>
      <c r="H17" s="9">
        <v>0</v>
      </c>
      <c r="I17" s="10">
        <v>44</v>
      </c>
      <c r="J17" s="9">
        <f>20.1+107.1+2113.5</f>
        <v>2240.7</v>
      </c>
      <c r="K17" s="2">
        <v>47.05</v>
      </c>
      <c r="L17" s="6">
        <v>3091.2</v>
      </c>
      <c r="M17" s="6">
        <f t="shared" si="2"/>
        <v>5276.2</v>
      </c>
      <c r="N17" s="46">
        <f t="shared" si="0"/>
        <v>0.4202441906262308</v>
      </c>
      <c r="O17" s="46">
        <f t="shared" si="1"/>
        <v>0.7248641304347827</v>
      </c>
      <c r="P17" s="148"/>
    </row>
    <row r="18" spans="1:16" ht="18">
      <c r="A18" s="243"/>
      <c r="B18" s="1" t="s">
        <v>34</v>
      </c>
      <c r="C18" s="5">
        <v>37256</v>
      </c>
      <c r="D18" s="8">
        <v>37346</v>
      </c>
      <c r="E18" s="9">
        <f>258+170</f>
        <v>428</v>
      </c>
      <c r="F18" s="9">
        <v>87</v>
      </c>
      <c r="G18" s="9">
        <v>1047</v>
      </c>
      <c r="H18" s="9">
        <v>459</v>
      </c>
      <c r="I18" s="10">
        <v>85</v>
      </c>
      <c r="J18" s="9">
        <f>265+44+242+104+277</f>
        <v>932</v>
      </c>
      <c r="K18" s="2">
        <v>97.2</v>
      </c>
      <c r="L18" s="6">
        <v>8783.6</v>
      </c>
      <c r="M18" s="6">
        <f t="shared" si="2"/>
        <v>9125.6</v>
      </c>
      <c r="N18" s="46">
        <f t="shared" si="0"/>
        <v>0.09160065260550783</v>
      </c>
      <c r="O18" s="46">
        <f t="shared" si="1"/>
        <v>0.10083742669811525</v>
      </c>
      <c r="P18" s="148"/>
    </row>
    <row r="19" spans="1:16" ht="18">
      <c r="A19" s="243"/>
      <c r="B19" s="1" t="s">
        <v>4</v>
      </c>
      <c r="C19" s="5">
        <v>37256</v>
      </c>
      <c r="D19" s="8">
        <v>37256</v>
      </c>
      <c r="E19" s="9">
        <f>319.408+114.739</f>
        <v>434.14700000000005</v>
      </c>
      <c r="F19" s="9">
        <f>415.561+77.576</f>
        <v>493.13699999999994</v>
      </c>
      <c r="G19" s="9">
        <f>22.985+762.625</f>
        <v>785.61</v>
      </c>
      <c r="H19" s="9">
        <v>329.5</v>
      </c>
      <c r="I19" s="9">
        <v>2637.7</v>
      </c>
      <c r="J19" s="9">
        <f>1026.598+4793.869</f>
        <v>5820.467</v>
      </c>
      <c r="K19" s="2">
        <v>38.6</v>
      </c>
      <c r="L19" s="6">
        <v>5249.9</v>
      </c>
      <c r="M19" s="6">
        <f t="shared" si="2"/>
        <v>12758.819999999998</v>
      </c>
      <c r="N19" s="46">
        <f t="shared" si="0"/>
        <v>0.510573237389524</v>
      </c>
      <c r="O19" s="46">
        <f t="shared" si="1"/>
        <v>1.0432066171989822</v>
      </c>
      <c r="P19" s="148"/>
    </row>
    <row r="20" spans="1:16" ht="18">
      <c r="A20" s="243"/>
      <c r="B20" s="1" t="s">
        <v>37</v>
      </c>
      <c r="C20" s="5">
        <v>37256</v>
      </c>
      <c r="D20" s="8">
        <v>37437</v>
      </c>
      <c r="E20" s="9">
        <f>255+2639</f>
        <v>2894</v>
      </c>
      <c r="F20" s="9">
        <f>131+189+278</f>
        <v>598</v>
      </c>
      <c r="G20" s="9">
        <v>259</v>
      </c>
      <c r="H20" s="9">
        <v>84</v>
      </c>
      <c r="I20" s="9">
        <v>-2882</v>
      </c>
      <c r="J20" s="9">
        <f>652+81+4807</f>
        <v>5540</v>
      </c>
      <c r="K20" s="2">
        <v>55.93</v>
      </c>
      <c r="L20" s="6">
        <v>7193.7</v>
      </c>
      <c r="M20" s="6">
        <f t="shared" si="2"/>
        <v>9078.7</v>
      </c>
      <c r="N20" s="46">
        <f t="shared" si="0"/>
        <v>0.43221482793324856</v>
      </c>
      <c r="O20" s="46">
        <f t="shared" si="1"/>
        <v>0.7612295093230004</v>
      </c>
      <c r="P20" s="148"/>
    </row>
    <row r="21" spans="1:16" ht="18">
      <c r="A21" s="243"/>
      <c r="B21" s="1" t="s">
        <v>2</v>
      </c>
      <c r="C21" s="5">
        <v>37256</v>
      </c>
      <c r="D21" s="8">
        <v>37437</v>
      </c>
      <c r="E21" s="9">
        <f>1467+47</f>
        <v>1514</v>
      </c>
      <c r="F21" s="9">
        <v>226</v>
      </c>
      <c r="G21" s="9">
        <v>831</v>
      </c>
      <c r="H21" s="9">
        <v>130</v>
      </c>
      <c r="I21" s="10">
        <v>607</v>
      </c>
      <c r="J21" s="9">
        <f>682+14+668</f>
        <v>1364</v>
      </c>
      <c r="K21" s="2">
        <v>39.6</v>
      </c>
      <c r="L21" s="6">
        <v>3300</v>
      </c>
      <c r="M21" s="6">
        <f t="shared" si="2"/>
        <v>4344</v>
      </c>
      <c r="N21" s="46">
        <f t="shared" si="0"/>
        <v>0.28452231956612434</v>
      </c>
      <c r="O21" s="46">
        <f t="shared" si="1"/>
        <v>0.3976676384839651</v>
      </c>
      <c r="P21" s="148"/>
    </row>
    <row r="22" spans="1:16" ht="18">
      <c r="A22" s="243"/>
      <c r="B22" s="1" t="s">
        <v>1</v>
      </c>
      <c r="C22" s="5">
        <v>37256</v>
      </c>
      <c r="D22" s="8">
        <v>37437</v>
      </c>
      <c r="E22" s="9">
        <v>0</v>
      </c>
      <c r="F22" s="9">
        <v>164</v>
      </c>
      <c r="G22" s="9">
        <v>1219</v>
      </c>
      <c r="H22" s="9">
        <v>0</v>
      </c>
      <c r="I22" s="9">
        <v>2196</v>
      </c>
      <c r="J22" s="9">
        <f>504+1305</f>
        <v>1809</v>
      </c>
      <c r="K22" s="2">
        <v>11.26</v>
      </c>
      <c r="L22" s="6">
        <v>1471.9</v>
      </c>
      <c r="M22" s="6">
        <f t="shared" si="2"/>
        <v>4093.8999999999996</v>
      </c>
      <c r="N22" s="46">
        <f t="shared" si="0"/>
        <v>0.5513730988448291</v>
      </c>
      <c r="O22" s="46">
        <f t="shared" si="1"/>
        <v>1.2290237108499216</v>
      </c>
      <c r="P22" s="148"/>
    </row>
    <row r="23" spans="1:16" ht="18">
      <c r="A23" s="243"/>
      <c r="B23" s="1" t="s">
        <v>0</v>
      </c>
      <c r="C23" s="5">
        <v>37072</v>
      </c>
      <c r="D23" s="8">
        <v>37346</v>
      </c>
      <c r="E23" s="9">
        <v>0</v>
      </c>
      <c r="F23" s="9">
        <v>0</v>
      </c>
      <c r="G23" s="9">
        <f>13.811+4.524</f>
        <v>18.335</v>
      </c>
      <c r="H23" s="9">
        <v>0</v>
      </c>
      <c r="I23" s="9">
        <v>1.5</v>
      </c>
      <c r="J23" s="9">
        <f>20.179+1.166+2.893+0.748</f>
        <v>24.986</v>
      </c>
      <c r="K23" s="2">
        <v>33.8</v>
      </c>
      <c r="L23" s="6">
        <v>108.2</v>
      </c>
      <c r="M23" s="6">
        <f t="shared" si="2"/>
        <v>116.351</v>
      </c>
      <c r="N23" s="46">
        <f t="shared" si="0"/>
        <v>0.187602300542099</v>
      </c>
      <c r="O23" s="46">
        <f t="shared" si="1"/>
        <v>0.2309242144177449</v>
      </c>
      <c r="P23" s="148"/>
    </row>
    <row r="24" spans="1:16" ht="12.75">
      <c r="A24" s="243"/>
      <c r="B24" s="3"/>
      <c r="C24" s="4"/>
      <c r="D24" s="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48"/>
    </row>
    <row r="25" spans="1:16" ht="12.75">
      <c r="A25" s="243"/>
      <c r="B25" s="3" t="s">
        <v>39</v>
      </c>
      <c r="C25" s="4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48"/>
    </row>
    <row r="26" spans="1:16" ht="12.75">
      <c r="A26" s="243"/>
      <c r="B26" s="3" t="s">
        <v>38</v>
      </c>
      <c r="C26" s="4"/>
      <c r="D26" s="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48"/>
    </row>
    <row r="27" spans="1:16" ht="12.75">
      <c r="A27" s="243"/>
      <c r="B27" s="3" t="s">
        <v>40</v>
      </c>
      <c r="C27" s="4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48"/>
    </row>
    <row r="28" spans="1:16" ht="13.5" thickBot="1">
      <c r="A28" s="246"/>
      <c r="B28" s="151"/>
      <c r="C28" s="140"/>
      <c r="D28" s="247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/>
    </row>
    <row r="29" ht="13.5" thickTop="1"/>
  </sheetData>
  <sheetProtection/>
  <mergeCells count="13">
    <mergeCell ref="M2:M3"/>
    <mergeCell ref="N2:N3"/>
    <mergeCell ref="O2:O3"/>
    <mergeCell ref="H2:H3"/>
    <mergeCell ref="I2:I3"/>
    <mergeCell ref="J2:J3"/>
    <mergeCell ref="K2:K3"/>
    <mergeCell ref="C2:C3"/>
    <mergeCell ref="E2:E3"/>
    <mergeCell ref="F2:F3"/>
    <mergeCell ref="G2:G3"/>
    <mergeCell ref="D2:D3"/>
    <mergeCell ref="L2:L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79"/>
  <sheetViews>
    <sheetView showGridLines="0" zoomScalePageLayoutView="0" workbookViewId="0" topLeftCell="A1">
      <pane xSplit="2" topLeftCell="BH1" activePane="topRight" state="frozen"/>
      <selection pane="topLeft" activeCell="A1" sqref="A1"/>
      <selection pane="topRight" activeCell="A1" sqref="A1"/>
    </sheetView>
  </sheetViews>
  <sheetFormatPr defaultColWidth="11.57421875" defaultRowHeight="12.75"/>
  <cols>
    <col min="1" max="1" width="2.7109375" style="40" customWidth="1"/>
    <col min="2" max="2" width="32.8515625" style="40" customWidth="1"/>
    <col min="3" max="5" width="12.7109375" style="40" customWidth="1"/>
    <col min="6" max="6" width="10.7109375" style="40" customWidth="1"/>
    <col min="7" max="7" width="15.7109375" style="40" customWidth="1"/>
    <col min="8" max="8" width="11.421875" style="40" customWidth="1"/>
    <col min="9" max="28" width="10.7109375" style="40" customWidth="1"/>
    <col min="29" max="82" width="11.421875" style="40" customWidth="1"/>
    <col min="83" max="83" width="2.7109375" style="40" customWidth="1"/>
    <col min="84" max="16384" width="11.421875" style="40" customWidth="1"/>
  </cols>
  <sheetData>
    <row r="1" spans="1:83" ht="13.5" thickTop="1">
      <c r="A1" s="143"/>
      <c r="B1" s="144"/>
      <c r="C1" s="144"/>
      <c r="D1" s="144"/>
      <c r="E1" s="144"/>
      <c r="F1" s="144"/>
      <c r="G1" s="144"/>
      <c r="H1" s="145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5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5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5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5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5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5"/>
      <c r="CC1" s="144"/>
      <c r="CD1" s="144"/>
      <c r="CE1" s="145"/>
    </row>
    <row r="2" spans="1:83" s="41" customFormat="1" ht="18">
      <c r="A2" s="248"/>
      <c r="B2" s="45" t="s">
        <v>51</v>
      </c>
      <c r="C2" s="1"/>
      <c r="D2" s="1"/>
      <c r="E2" s="1"/>
      <c r="F2" s="4"/>
      <c r="G2" s="271" t="s">
        <v>48</v>
      </c>
      <c r="H2" s="272"/>
      <c r="I2" s="1" t="s">
        <v>21</v>
      </c>
      <c r="J2" s="1"/>
      <c r="K2" s="1"/>
      <c r="L2" s="1"/>
      <c r="M2" s="1"/>
      <c r="N2" s="1"/>
      <c r="O2" s="19" t="s">
        <v>25</v>
      </c>
      <c r="P2" s="3"/>
      <c r="Q2" s="3"/>
      <c r="R2" s="1"/>
      <c r="S2" s="1"/>
      <c r="T2" s="249"/>
      <c r="U2" s="1" t="s">
        <v>26</v>
      </c>
      <c r="V2" s="3"/>
      <c r="W2" s="3"/>
      <c r="X2" s="1"/>
      <c r="Y2" s="1"/>
      <c r="Z2" s="1"/>
      <c r="AA2" s="19" t="s">
        <v>27</v>
      </c>
      <c r="AB2" s="3"/>
      <c r="AC2" s="3"/>
      <c r="AD2" s="1"/>
      <c r="AE2" s="1"/>
      <c r="AF2" s="249"/>
      <c r="AG2" s="1" t="s">
        <v>21</v>
      </c>
      <c r="AH2" s="33"/>
      <c r="AI2" s="33"/>
      <c r="AJ2" s="1"/>
      <c r="AK2" s="1"/>
      <c r="AL2" s="1"/>
      <c r="AM2" s="19" t="s">
        <v>25</v>
      </c>
      <c r="AN2" s="1"/>
      <c r="AO2" s="1"/>
      <c r="AP2" s="1"/>
      <c r="AQ2" s="1"/>
      <c r="AR2" s="249"/>
      <c r="AS2" s="1" t="s">
        <v>26</v>
      </c>
      <c r="AT2" s="1"/>
      <c r="AU2" s="1"/>
      <c r="AV2" s="1"/>
      <c r="AW2" s="1"/>
      <c r="AX2" s="1"/>
      <c r="AY2" s="19" t="s">
        <v>27</v>
      </c>
      <c r="AZ2" s="1"/>
      <c r="BA2" s="1"/>
      <c r="BB2" s="1"/>
      <c r="BC2" s="1"/>
      <c r="BD2" s="249"/>
      <c r="BE2" s="1" t="s">
        <v>57</v>
      </c>
      <c r="BF2" s="1"/>
      <c r="BG2" s="1"/>
      <c r="BH2" s="1"/>
      <c r="BI2" s="1"/>
      <c r="BJ2" s="1"/>
      <c r="BK2" s="19" t="s">
        <v>58</v>
      </c>
      <c r="BL2" s="1"/>
      <c r="BM2" s="1"/>
      <c r="BN2" s="1"/>
      <c r="BO2" s="1"/>
      <c r="BP2" s="249"/>
      <c r="BQ2" s="1" t="s">
        <v>59</v>
      </c>
      <c r="BR2" s="1"/>
      <c r="BS2" s="1"/>
      <c r="BT2" s="1"/>
      <c r="BU2" s="1"/>
      <c r="BV2" s="1"/>
      <c r="BW2" s="19" t="s">
        <v>60</v>
      </c>
      <c r="BX2" s="1"/>
      <c r="BY2" s="1"/>
      <c r="BZ2" s="1"/>
      <c r="CA2" s="1"/>
      <c r="CB2" s="249"/>
      <c r="CC2" s="1" t="s">
        <v>63</v>
      </c>
      <c r="CD2" s="1" t="s">
        <v>61</v>
      </c>
      <c r="CE2" s="249"/>
    </row>
    <row r="3" spans="1:83" s="42" customFormat="1" ht="12.75">
      <c r="A3" s="146"/>
      <c r="B3" s="4" t="s">
        <v>46</v>
      </c>
      <c r="C3" s="270" t="s">
        <v>45</v>
      </c>
      <c r="D3" s="270" t="s">
        <v>116</v>
      </c>
      <c r="E3" s="270" t="s">
        <v>44</v>
      </c>
      <c r="F3" s="4"/>
      <c r="G3" s="4"/>
      <c r="H3" s="256"/>
      <c r="I3" s="13">
        <v>1999</v>
      </c>
      <c r="J3" s="13">
        <v>2000</v>
      </c>
      <c r="K3" s="13">
        <v>2001</v>
      </c>
      <c r="L3" s="13" t="s">
        <v>22</v>
      </c>
      <c r="M3" s="13" t="s">
        <v>23</v>
      </c>
      <c r="N3" s="13" t="s">
        <v>24</v>
      </c>
      <c r="O3" s="29">
        <v>1999</v>
      </c>
      <c r="P3" s="13">
        <v>2000</v>
      </c>
      <c r="Q3" s="13">
        <v>2001</v>
      </c>
      <c r="R3" s="13" t="s">
        <v>22</v>
      </c>
      <c r="S3" s="13" t="s">
        <v>23</v>
      </c>
      <c r="T3" s="245" t="s">
        <v>24</v>
      </c>
      <c r="U3" s="13">
        <v>1999</v>
      </c>
      <c r="V3" s="13">
        <v>2000</v>
      </c>
      <c r="W3" s="13">
        <v>2001</v>
      </c>
      <c r="X3" s="13" t="s">
        <v>22</v>
      </c>
      <c r="Y3" s="13" t="s">
        <v>23</v>
      </c>
      <c r="Z3" s="13" t="s">
        <v>24</v>
      </c>
      <c r="AA3" s="29">
        <v>1999</v>
      </c>
      <c r="AB3" s="13">
        <v>2000</v>
      </c>
      <c r="AC3" s="13">
        <v>2001</v>
      </c>
      <c r="AD3" s="13" t="s">
        <v>22</v>
      </c>
      <c r="AE3" s="13" t="s">
        <v>23</v>
      </c>
      <c r="AF3" s="245" t="s">
        <v>24</v>
      </c>
      <c r="AG3" s="13">
        <v>1999</v>
      </c>
      <c r="AH3" s="13">
        <v>2000</v>
      </c>
      <c r="AI3" s="13">
        <v>2001</v>
      </c>
      <c r="AJ3" s="13" t="s">
        <v>22</v>
      </c>
      <c r="AK3" s="13" t="s">
        <v>23</v>
      </c>
      <c r="AL3" s="3"/>
      <c r="AM3" s="29">
        <v>1999</v>
      </c>
      <c r="AN3" s="13">
        <v>2000</v>
      </c>
      <c r="AO3" s="13">
        <v>2001</v>
      </c>
      <c r="AP3" s="13" t="s">
        <v>22</v>
      </c>
      <c r="AQ3" s="13" t="s">
        <v>23</v>
      </c>
      <c r="AR3" s="148"/>
      <c r="AS3" s="13">
        <v>1999</v>
      </c>
      <c r="AT3" s="13">
        <v>2000</v>
      </c>
      <c r="AU3" s="13">
        <v>2001</v>
      </c>
      <c r="AV3" s="13" t="s">
        <v>22</v>
      </c>
      <c r="AW3" s="13" t="s">
        <v>23</v>
      </c>
      <c r="AX3" s="3"/>
      <c r="AY3" s="29">
        <v>1999</v>
      </c>
      <c r="AZ3" s="13">
        <v>2000</v>
      </c>
      <c r="BA3" s="13">
        <v>2001</v>
      </c>
      <c r="BB3" s="13" t="s">
        <v>22</v>
      </c>
      <c r="BC3" s="13" t="s">
        <v>23</v>
      </c>
      <c r="BD3" s="148"/>
      <c r="BE3" s="13">
        <v>1999</v>
      </c>
      <c r="BF3" s="13">
        <v>2000</v>
      </c>
      <c r="BG3" s="13">
        <v>2001</v>
      </c>
      <c r="BH3" s="13" t="s">
        <v>22</v>
      </c>
      <c r="BI3" s="13" t="s">
        <v>23</v>
      </c>
      <c r="BJ3" s="3"/>
      <c r="BK3" s="29">
        <v>1999</v>
      </c>
      <c r="BL3" s="13">
        <v>2000</v>
      </c>
      <c r="BM3" s="13">
        <v>2001</v>
      </c>
      <c r="BN3" s="13" t="s">
        <v>22</v>
      </c>
      <c r="BO3" s="13" t="s">
        <v>23</v>
      </c>
      <c r="BP3" s="148"/>
      <c r="BQ3" s="13">
        <v>1999</v>
      </c>
      <c r="BR3" s="13">
        <v>2000</v>
      </c>
      <c r="BS3" s="13">
        <v>2001</v>
      </c>
      <c r="BT3" s="13" t="s">
        <v>22</v>
      </c>
      <c r="BU3" s="13" t="s">
        <v>23</v>
      </c>
      <c r="BV3" s="3"/>
      <c r="BW3" s="29">
        <v>1999</v>
      </c>
      <c r="BX3" s="13">
        <v>2000</v>
      </c>
      <c r="BY3" s="13">
        <v>2001</v>
      </c>
      <c r="BZ3" s="13" t="s">
        <v>22</v>
      </c>
      <c r="CA3" s="13" t="s">
        <v>23</v>
      </c>
      <c r="CB3" s="148"/>
      <c r="CC3" s="3" t="s">
        <v>62</v>
      </c>
      <c r="CD3" s="3"/>
      <c r="CE3" s="148"/>
    </row>
    <row r="4" spans="1:83" s="42" customFormat="1" ht="12.75">
      <c r="A4" s="146"/>
      <c r="B4" s="4"/>
      <c r="C4" s="270"/>
      <c r="D4" s="270"/>
      <c r="E4" s="270"/>
      <c r="F4" s="4"/>
      <c r="G4" s="4"/>
      <c r="H4" s="256"/>
      <c r="I4" s="13"/>
      <c r="J4" s="13"/>
      <c r="K4" s="13"/>
      <c r="L4" s="13"/>
      <c r="M4" s="13"/>
      <c r="N4" s="13"/>
      <c r="O4" s="29"/>
      <c r="P4" s="13"/>
      <c r="Q4" s="13"/>
      <c r="R4" s="13"/>
      <c r="S4" s="13"/>
      <c r="T4" s="245"/>
      <c r="U4" s="13"/>
      <c r="V4" s="13"/>
      <c r="W4" s="13"/>
      <c r="X4" s="13"/>
      <c r="Y4" s="13"/>
      <c r="Z4" s="13"/>
      <c r="AA4" s="29"/>
      <c r="AB4" s="13"/>
      <c r="AC4" s="13"/>
      <c r="AD4" s="13"/>
      <c r="AE4" s="13"/>
      <c r="AF4" s="245"/>
      <c r="AG4" s="13"/>
      <c r="AH4" s="13"/>
      <c r="AI4" s="13"/>
      <c r="AJ4" s="13"/>
      <c r="AK4" s="13"/>
      <c r="AL4" s="3"/>
      <c r="AM4" s="29"/>
      <c r="AN4" s="13"/>
      <c r="AO4" s="13"/>
      <c r="AP4" s="13"/>
      <c r="AQ4" s="13"/>
      <c r="AR4" s="148"/>
      <c r="AS4" s="13"/>
      <c r="AT4" s="13"/>
      <c r="AU4" s="13"/>
      <c r="AV4" s="13"/>
      <c r="AW4" s="13"/>
      <c r="AX4" s="3"/>
      <c r="AY4" s="29"/>
      <c r="AZ4" s="13"/>
      <c r="BA4" s="13"/>
      <c r="BB4" s="13"/>
      <c r="BC4" s="13"/>
      <c r="BD4" s="148"/>
      <c r="BE4" s="13"/>
      <c r="BF4" s="13"/>
      <c r="BG4" s="13"/>
      <c r="BH4" s="13"/>
      <c r="BI4" s="13"/>
      <c r="BJ4" s="3"/>
      <c r="BK4" s="29"/>
      <c r="BL4" s="13"/>
      <c r="BM4" s="13"/>
      <c r="BN4" s="13"/>
      <c r="BO4" s="13"/>
      <c r="BP4" s="148"/>
      <c r="BQ4" s="13"/>
      <c r="BR4" s="13"/>
      <c r="BS4" s="13"/>
      <c r="BT4" s="13"/>
      <c r="BU4" s="13"/>
      <c r="BV4" s="3"/>
      <c r="BW4" s="29"/>
      <c r="BX4" s="13"/>
      <c r="BY4" s="13"/>
      <c r="BZ4" s="13"/>
      <c r="CA4" s="13"/>
      <c r="CB4" s="148"/>
      <c r="CC4" s="3"/>
      <c r="CD4" s="3"/>
      <c r="CE4" s="148"/>
    </row>
    <row r="5" spans="1:83" s="42" customFormat="1" ht="18">
      <c r="A5" s="146"/>
      <c r="B5" s="1" t="s">
        <v>18</v>
      </c>
      <c r="C5" s="26">
        <f>+'PG-Ermittlung Market Cap &amp; EV'!K5</f>
        <v>44.1</v>
      </c>
      <c r="D5" s="49">
        <f>+'PG-Ermittlung Market Cap &amp; EV'!L5</f>
        <v>441</v>
      </c>
      <c r="E5" s="49">
        <f>+'PG-Ermittlung Market Cap &amp; EV'!M5</f>
        <v>367</v>
      </c>
      <c r="F5" s="4" t="s">
        <v>54</v>
      </c>
      <c r="G5" s="5">
        <v>37346</v>
      </c>
      <c r="H5" s="257">
        <f aca="true" t="shared" si="0" ref="H5:H23">MONTH(G5)</f>
        <v>3</v>
      </c>
      <c r="I5" s="6">
        <v>217.9</v>
      </c>
      <c r="J5" s="6">
        <v>248</v>
      </c>
      <c r="K5" s="6">
        <v>276.5</v>
      </c>
      <c r="L5" s="6">
        <v>303.1</v>
      </c>
      <c r="M5" s="9">
        <v>317.2</v>
      </c>
      <c r="N5" s="9">
        <v>366.1</v>
      </c>
      <c r="O5" s="17">
        <v>54.3</v>
      </c>
      <c r="P5" s="6">
        <v>69.1</v>
      </c>
      <c r="Q5" s="6">
        <v>69.4</v>
      </c>
      <c r="R5" s="6">
        <v>75.7</v>
      </c>
      <c r="S5" s="9">
        <v>78.5</v>
      </c>
      <c r="T5" s="261">
        <v>88</v>
      </c>
      <c r="U5" s="6">
        <v>39.7</v>
      </c>
      <c r="V5" s="6">
        <v>53.6</v>
      </c>
      <c r="W5" s="6">
        <v>49.2</v>
      </c>
      <c r="X5" s="6">
        <v>53.2</v>
      </c>
      <c r="Y5" s="9">
        <v>55.2</v>
      </c>
      <c r="Z5" s="9">
        <v>61.8</v>
      </c>
      <c r="AA5" s="18">
        <v>1.91</v>
      </c>
      <c r="AB5" s="2">
        <v>3.1</v>
      </c>
      <c r="AC5" s="2">
        <v>3.33</v>
      </c>
      <c r="AD5" s="2">
        <v>4.28</v>
      </c>
      <c r="AE5" s="12">
        <v>3.73</v>
      </c>
      <c r="AF5" s="268">
        <v>4.18</v>
      </c>
      <c r="AG5" s="25">
        <f aca="true" t="shared" si="1" ref="AG5:AG23">IF(OR(I5="n/a",J5="n/a"),IF(AND($H5&lt;12,J5="n/a"),"n/a",I5),I5*$H5/12+J5*(12-$H5)/12)</f>
        <v>240.475</v>
      </c>
      <c r="AH5" s="25">
        <f aca="true" t="shared" si="2" ref="AH5:AH23">IF(OR(J5="n/a",K5="n/a"),IF(AND($H5&lt;12,K5="n/a"),"n/a",J5),J5*$H5/12+K5*(12-$H5)/12)</f>
        <v>269.375</v>
      </c>
      <c r="AI5" s="25">
        <f aca="true" t="shared" si="3" ref="AI5:AI23">IF(OR(K5="n/a",L5="n/a"),IF(AND($H5&lt;12,L5="n/a"),"n/a",K5),K5*$H5/12+L5*(12-$H5)/12)</f>
        <v>296.45000000000005</v>
      </c>
      <c r="AJ5" s="25">
        <f aca="true" t="shared" si="4" ref="AJ5:AJ23">IF(OR(L5="n/a",M5="n/a"),IF(AND($H5&lt;12,M5="n/a"),"n/a",L5),L5*$H5/12+M5*(12-$H5)/12)</f>
        <v>313.67499999999995</v>
      </c>
      <c r="AK5" s="25">
        <f aca="true" t="shared" si="5" ref="AK5:AK23">IF(OR(M5="n/a",N5="n/a"),IF(AND($H5&lt;12,N5="n/a"),"n/a",M5),M5*$H5/12+N5*(12-$H5)/12)</f>
        <v>353.875</v>
      </c>
      <c r="AL5" s="25"/>
      <c r="AM5" s="31">
        <f aca="true" t="shared" si="6" ref="AM5:AM23">IF(OR(O5="n/a",P5="n/a"),IF(AND($H5&lt;12,P5="n/a"),"n/a",O5),O5*$H5/12+P5*(12-$H5)/12)</f>
        <v>65.39999999999999</v>
      </c>
      <c r="AN5" s="25">
        <f aca="true" t="shared" si="7" ref="AN5:AN23">IF(OR(P5="n/a",Q5="n/a"),IF(AND($H5&lt;12,Q5="n/a"),"n/a",P5),P5*$H5/12+Q5*(12-$H5)/12)</f>
        <v>69.325</v>
      </c>
      <c r="AO5" s="25">
        <f aca="true" t="shared" si="8" ref="AO5:AO23">IF(OR(Q5="n/a",R5="n/a"),IF(AND($H5&lt;12,R5="n/a"),"n/a",Q5),Q5*$H5/12+R5*(12-$H5)/12)</f>
        <v>74.125</v>
      </c>
      <c r="AP5" s="25">
        <f aca="true" t="shared" si="9" ref="AP5:AP23">IF(OR(R5="n/a",S5="n/a"),IF(AND($H5&lt;12,S5="n/a"),"n/a",R5),R5*$H5/12+S5*(12-$H5)/12)</f>
        <v>77.8</v>
      </c>
      <c r="AQ5" s="25">
        <f aca="true" t="shared" si="10" ref="AQ5:AQ23">IF(OR(S5="n/a",T5="n/a"),IF(AND($H5&lt;12,T5="n/a"),"n/a",S5),S5*$H5/12+T5*(12-$H5)/12)</f>
        <v>85.625</v>
      </c>
      <c r="AR5" s="269"/>
      <c r="AS5" s="25">
        <f aca="true" t="shared" si="11" ref="AS5:AS23">IF(OR(U5="n/a",V5="n/a"),IF(AND($H5&lt;12,V5="n/a"),"n/a",U5),U5*$H5/12+V5*(12-$H5)/12)</f>
        <v>50.125</v>
      </c>
      <c r="AT5" s="25">
        <f aca="true" t="shared" si="12" ref="AT5:AT23">IF(OR(V5="n/a",W5="n/a"),IF(AND($H5&lt;12,W5="n/a"),"n/a",V5),V5*$H5/12+W5*(12-$H5)/12)</f>
        <v>50.3</v>
      </c>
      <c r="AU5" s="25">
        <f aca="true" t="shared" si="13" ref="AU5:AU23">IF(OR(W5="n/a",X5="n/a"),IF(AND($H5&lt;12,X5="n/a"),"n/a",W5),W5*$H5/12+X5*(12-$H5)/12)</f>
        <v>52.2</v>
      </c>
      <c r="AV5" s="25">
        <f aca="true" t="shared" si="14" ref="AV5:AV23">IF(OR(X5="n/a",Y5="n/a"),IF(AND($H5&lt;12,Y5="n/a"),"n/a",X5),X5*$H5/12+Y5*(12-$H5)/12)</f>
        <v>54.7</v>
      </c>
      <c r="AW5" s="25">
        <f aca="true" t="shared" si="15" ref="AW5:AW23">IF(OR(Y5="n/a",Z5="n/a"),IF(AND($H5&lt;12,Z5="n/a"),"n/a",Y5),Y5*$H5/12+Z5*(12-$H5)/12)</f>
        <v>60.15</v>
      </c>
      <c r="AX5" s="3"/>
      <c r="AY5" s="32">
        <f aca="true" t="shared" si="16" ref="AY5:AY23">IF(OR(AA5="n/a",AB5="n/a"),IF(AND($H5&lt;12,AB5="n/a"),"n/a",AA5),AA5*$H5/12+AB5*(12-$H5)/12)</f>
        <v>2.8025</v>
      </c>
      <c r="AZ5" s="26">
        <f aca="true" t="shared" si="17" ref="AZ5:AZ23">IF(OR(AB5="n/a",AC5="n/a"),IF(AND($H5&lt;12,AC5="n/a"),"n/a",AB5),AB5*$H5/12+AC5*(12-$H5)/12)</f>
        <v>3.2725</v>
      </c>
      <c r="BA5" s="26">
        <f aca="true" t="shared" si="18" ref="BA5:BA23">IF(OR(AC5="n/a",AD5="n/a"),IF(AND($H5&lt;12,AD5="n/a"),"n/a",AC5),AC5*$H5/12+AD5*(12-$H5)/12)</f>
        <v>4.0425</v>
      </c>
      <c r="BB5" s="26">
        <f aca="true" t="shared" si="19" ref="BB5:BB23">IF(OR(AD5="n/a",AE5="n/a"),IF(AND($H5&lt;12,AE5="n/a"),"n/a",AD5),AD5*$H5/12+AE5*(12-$H5)/12)</f>
        <v>3.8674999999999997</v>
      </c>
      <c r="BC5" s="26">
        <f aca="true" t="shared" si="20" ref="BC5:BC23">IF(OR(AE5="n/a",AF5="n/a"),IF(AND($H5&lt;12,AF5="n/a"),"n/a",AE5),AE5*$H5/12+AF5*(12-$H5)/12)</f>
        <v>4.0675</v>
      </c>
      <c r="BD5" s="148"/>
      <c r="BE5" s="28">
        <f>IF(AG5="n/a","n/a",$E5/AG5)</f>
        <v>1.5261461690404408</v>
      </c>
      <c r="BF5" s="28">
        <f aca="true" t="shared" si="21" ref="BF5:BF23">IF(AH5="n/a","n/a",$E5/AH5)</f>
        <v>1.362412993039443</v>
      </c>
      <c r="BG5" s="28">
        <f aca="true" t="shared" si="22" ref="BG5:BG23">IF(AI5="n/a","n/a",$E5/AI5)</f>
        <v>1.2379827964243546</v>
      </c>
      <c r="BH5" s="28">
        <f aca="true" t="shared" si="23" ref="BH5:BH23">IF(AJ5="n/a","n/a",$E5/AJ5)</f>
        <v>1.170000797003268</v>
      </c>
      <c r="BI5" s="28">
        <f aca="true" t="shared" si="24" ref="BI5:BI23">IF(AK5="n/a","n/a",$E5/AK5)</f>
        <v>1.0370893677145885</v>
      </c>
      <c r="BJ5" s="3"/>
      <c r="BK5" s="37">
        <f aca="true" t="shared" si="25" ref="BK5:BK23">IF(AM5="n/a","n/a",$E5/AM5)</f>
        <v>5.611620795107035</v>
      </c>
      <c r="BL5" s="28">
        <f aca="true" t="shared" si="26" ref="BL5:BL23">IF(AN5="n/a","n/a",$E5/AN5)</f>
        <v>5.293905517490082</v>
      </c>
      <c r="BM5" s="28">
        <f aca="true" t="shared" si="27" ref="BM5:BM23">IF(AO5="n/a","n/a",$E5/AO5)</f>
        <v>4.951096121416526</v>
      </c>
      <c r="BN5" s="28">
        <f aca="true" t="shared" si="28" ref="BN5:BN23">IF(AP5="n/a","n/a",$E5/AP5)</f>
        <v>4.717223650385605</v>
      </c>
      <c r="BO5" s="28">
        <f aca="true" t="shared" si="29" ref="BO5:BO23">IF(AQ5="n/a","n/a",$E5/AQ5)</f>
        <v>4.286131386861314</v>
      </c>
      <c r="BP5" s="148"/>
      <c r="BQ5" s="28">
        <f aca="true" t="shared" si="30" ref="BQ5:BQ23">IF(AS5="n/a","n/a",$E5/AS5)</f>
        <v>7.321695760598503</v>
      </c>
      <c r="BR5" s="28">
        <f aca="true" t="shared" si="31" ref="BR5:BR23">IF(AT5="n/a","n/a",$E5/AT5)</f>
        <v>7.296222664015905</v>
      </c>
      <c r="BS5" s="28">
        <f aca="true" t="shared" si="32" ref="BS5:BS23">IF(AU5="n/a","n/a",$E5/AU5)</f>
        <v>7.030651340996168</v>
      </c>
      <c r="BT5" s="28">
        <f aca="true" t="shared" si="33" ref="BT5:BT23">IF(AV5="n/a","n/a",$E5/AV5)</f>
        <v>6.7093235831809865</v>
      </c>
      <c r="BU5" s="28">
        <f aca="true" t="shared" si="34" ref="BU5:BU23">IF(AW5="n/a","n/a",$E5/AW5)</f>
        <v>6.101413133832087</v>
      </c>
      <c r="BV5" s="3"/>
      <c r="BW5" s="37">
        <f>IF(AY5="n/a","n/a",$C5/AY5)</f>
        <v>15.735950044603033</v>
      </c>
      <c r="BX5" s="28">
        <f>IF(AZ5="n/a","n/a",$C5/AZ5)</f>
        <v>13.475935828877006</v>
      </c>
      <c r="BY5" s="28">
        <f>IF(BA5="n/a","n/a",$C5/BA5)</f>
        <v>10.909090909090908</v>
      </c>
      <c r="BZ5" s="28">
        <f>IF(BB5="n/a","n/a",$C5/BB5)</f>
        <v>11.402714932126697</v>
      </c>
      <c r="CA5" s="28">
        <f>IF(BC5="n/a","n/a",$C5/BC5)</f>
        <v>10.842040565457898</v>
      </c>
      <c r="CB5" s="148"/>
      <c r="CC5" s="38">
        <f>IF(AK5="n/a","n/a",(AK5/AG5)^0.25-1)</f>
        <v>0.1013997846786363</v>
      </c>
      <c r="CD5" s="39">
        <f>IF(OR(BW5="n/a",CC5="n/a"),"n/a",BW5/CC5/100)</f>
        <v>1.551872136067603</v>
      </c>
      <c r="CE5" s="148"/>
    </row>
    <row r="6" spans="1:83" s="42" customFormat="1" ht="18">
      <c r="A6" s="146"/>
      <c r="B6" s="1" t="s">
        <v>17</v>
      </c>
      <c r="C6" s="26">
        <f>+'PG-Ermittlung Market Cap &amp; EV'!K6</f>
        <v>60.3</v>
      </c>
      <c r="D6" s="49">
        <f>+'PG-Ermittlung Market Cap &amp; EV'!L6</f>
        <v>1608.8</v>
      </c>
      <c r="E6" s="49">
        <f>+'PG-Ermittlung Market Cap &amp; EV'!M6</f>
        <v>2516</v>
      </c>
      <c r="F6" s="4" t="s">
        <v>53</v>
      </c>
      <c r="G6" s="5">
        <v>37256</v>
      </c>
      <c r="H6" s="257">
        <f t="shared" si="0"/>
        <v>12</v>
      </c>
      <c r="I6" s="6">
        <v>2458.6</v>
      </c>
      <c r="J6" s="6">
        <v>2645.9</v>
      </c>
      <c r="K6" s="6">
        <v>2351.6</v>
      </c>
      <c r="L6" s="9">
        <v>2637.4</v>
      </c>
      <c r="M6" s="9">
        <v>2951.4</v>
      </c>
      <c r="N6" s="6"/>
      <c r="O6" s="17">
        <v>366.8</v>
      </c>
      <c r="P6" s="6">
        <v>398.7</v>
      </c>
      <c r="Q6" s="6">
        <v>315.3</v>
      </c>
      <c r="R6" s="9">
        <v>362.9</v>
      </c>
      <c r="S6" s="9">
        <v>414.1</v>
      </c>
      <c r="T6" s="262"/>
      <c r="U6" s="6">
        <v>243.4</v>
      </c>
      <c r="V6" s="6">
        <v>253.2</v>
      </c>
      <c r="W6" s="6">
        <v>169.1</v>
      </c>
      <c r="X6" s="9">
        <v>252.4</v>
      </c>
      <c r="Y6" s="9">
        <v>291.6</v>
      </c>
      <c r="Z6" s="6"/>
      <c r="AA6" s="18">
        <v>5.07</v>
      </c>
      <c r="AB6" s="2">
        <v>3.54</v>
      </c>
      <c r="AC6" s="2">
        <v>2.51</v>
      </c>
      <c r="AD6" s="12">
        <v>5.61</v>
      </c>
      <c r="AE6" s="12">
        <v>6.44</v>
      </c>
      <c r="AF6" s="263"/>
      <c r="AG6" s="25">
        <f t="shared" si="1"/>
        <v>2458.6</v>
      </c>
      <c r="AH6" s="25">
        <f t="shared" si="2"/>
        <v>2645.9</v>
      </c>
      <c r="AI6" s="25">
        <f t="shared" si="3"/>
        <v>2351.6</v>
      </c>
      <c r="AJ6" s="25">
        <f t="shared" si="4"/>
        <v>2637.4</v>
      </c>
      <c r="AK6" s="25">
        <f t="shared" si="5"/>
        <v>2951.4</v>
      </c>
      <c r="AL6" s="25"/>
      <c r="AM6" s="31">
        <f t="shared" si="6"/>
        <v>366.8</v>
      </c>
      <c r="AN6" s="25">
        <f t="shared" si="7"/>
        <v>398.7</v>
      </c>
      <c r="AO6" s="25">
        <f t="shared" si="8"/>
        <v>315.3</v>
      </c>
      <c r="AP6" s="25">
        <f t="shared" si="9"/>
        <v>362.8999999999999</v>
      </c>
      <c r="AQ6" s="25">
        <f t="shared" si="10"/>
        <v>414.1000000000001</v>
      </c>
      <c r="AR6" s="253"/>
      <c r="AS6" s="25">
        <f t="shared" si="11"/>
        <v>243.4</v>
      </c>
      <c r="AT6" s="25">
        <f t="shared" si="12"/>
        <v>253.19999999999996</v>
      </c>
      <c r="AU6" s="25">
        <f t="shared" si="13"/>
        <v>169.1</v>
      </c>
      <c r="AV6" s="25">
        <f t="shared" si="14"/>
        <v>252.4</v>
      </c>
      <c r="AW6" s="25">
        <f t="shared" si="15"/>
        <v>291.6</v>
      </c>
      <c r="AX6" s="20"/>
      <c r="AY6" s="32">
        <f t="shared" si="16"/>
        <v>5.07</v>
      </c>
      <c r="AZ6" s="26">
        <f t="shared" si="17"/>
        <v>3.5400000000000005</v>
      </c>
      <c r="BA6" s="26">
        <f t="shared" si="18"/>
        <v>2.51</v>
      </c>
      <c r="BB6" s="26">
        <f t="shared" si="19"/>
        <v>5.61</v>
      </c>
      <c r="BC6" s="26">
        <f t="shared" si="20"/>
        <v>6.44</v>
      </c>
      <c r="BD6" s="253"/>
      <c r="BE6" s="28">
        <f aca="true" t="shared" si="35" ref="BE6:BE23">IF(AG6="n/a","n/a",$E6/AG6)</f>
        <v>1.023346620027658</v>
      </c>
      <c r="BF6" s="28">
        <f t="shared" si="21"/>
        <v>0.9509051740428587</v>
      </c>
      <c r="BG6" s="28">
        <f t="shared" si="22"/>
        <v>1.0699098486137097</v>
      </c>
      <c r="BH6" s="28">
        <f t="shared" si="23"/>
        <v>0.9539698187609008</v>
      </c>
      <c r="BI6" s="28">
        <f t="shared" si="24"/>
        <v>0.8524767906756116</v>
      </c>
      <c r="BJ6" s="20"/>
      <c r="BK6" s="37">
        <f t="shared" si="25"/>
        <v>6.859323882224645</v>
      </c>
      <c r="BL6" s="28">
        <f t="shared" si="26"/>
        <v>6.310509154752947</v>
      </c>
      <c r="BM6" s="28">
        <f t="shared" si="27"/>
        <v>7.979701871233745</v>
      </c>
      <c r="BN6" s="28">
        <f t="shared" si="28"/>
        <v>6.933039404794711</v>
      </c>
      <c r="BO6" s="28">
        <f t="shared" si="29"/>
        <v>6.075827094904612</v>
      </c>
      <c r="BP6" s="253"/>
      <c r="BQ6" s="28">
        <f t="shared" si="30"/>
        <v>10.336894001643385</v>
      </c>
      <c r="BR6" s="28">
        <f t="shared" si="31"/>
        <v>9.936808846761455</v>
      </c>
      <c r="BS6" s="28">
        <f t="shared" si="32"/>
        <v>14.878769958604376</v>
      </c>
      <c r="BT6" s="28">
        <f t="shared" si="33"/>
        <v>9.968304278922345</v>
      </c>
      <c r="BU6" s="28">
        <f t="shared" si="34"/>
        <v>8.628257887517146</v>
      </c>
      <c r="BV6" s="20"/>
      <c r="BW6" s="37">
        <f aca="true" t="shared" si="36" ref="BW6:BW23">IF(AY6="n/a","n/a",$C6/AY6)</f>
        <v>11.893491124260354</v>
      </c>
      <c r="BX6" s="28">
        <f aca="true" t="shared" si="37" ref="BX6:BX23">IF(AZ6="n/a","n/a",$C6/AZ6)</f>
        <v>17.033898305084744</v>
      </c>
      <c r="BY6" s="28">
        <f aca="true" t="shared" si="38" ref="BY6:BY23">IF(BA6="n/a","n/a",$C6/BA6)</f>
        <v>24.02390438247012</v>
      </c>
      <c r="BZ6" s="28">
        <f aca="true" t="shared" si="39" ref="BZ6:BZ23">IF(BB6="n/a","n/a",$C6/BB6)</f>
        <v>10.748663101604278</v>
      </c>
      <c r="CA6" s="28">
        <f aca="true" t="shared" si="40" ref="CA6:CA23">IF(BC6="n/a","n/a",$C6/BC6)</f>
        <v>9.36335403726708</v>
      </c>
      <c r="CB6" s="253"/>
      <c r="CC6" s="38">
        <f aca="true" t="shared" si="41" ref="CC6:CC23">IF(AK6="n/a","n/a",(AK6/AG6)^0.25-1)</f>
        <v>0.04673090958098913</v>
      </c>
      <c r="CD6" s="39">
        <f aca="true" t="shared" si="42" ref="CD6:CD23">IF(OR(BW6="n/a",CC6="n/a"),"n/a",BW6/CC6/100)</f>
        <v>2.5451015678707893</v>
      </c>
      <c r="CE6" s="148"/>
    </row>
    <row r="7" spans="1:83" s="42" customFormat="1" ht="18">
      <c r="A7" s="146"/>
      <c r="B7" s="1" t="s">
        <v>16</v>
      </c>
      <c r="C7" s="26">
        <f>+'PG-Ermittlung Market Cap &amp; EV'!K7</f>
        <v>16.7</v>
      </c>
      <c r="D7" s="49">
        <f>+'PG-Ermittlung Market Cap &amp; EV'!L7</f>
        <v>2168.1</v>
      </c>
      <c r="E7" s="49">
        <f>+'PG-Ermittlung Market Cap &amp; EV'!M7</f>
        <v>5912.899999999999</v>
      </c>
      <c r="F7" s="4" t="s">
        <v>54</v>
      </c>
      <c r="G7" s="5">
        <v>37256</v>
      </c>
      <c r="H7" s="257">
        <f t="shared" si="0"/>
        <v>12</v>
      </c>
      <c r="I7" s="6">
        <v>9132.2</v>
      </c>
      <c r="J7" s="6">
        <v>10115</v>
      </c>
      <c r="K7" s="6">
        <v>11233.3</v>
      </c>
      <c r="L7" s="9">
        <v>11465.6</v>
      </c>
      <c r="M7" s="9">
        <v>11921.6</v>
      </c>
      <c r="N7" s="6"/>
      <c r="O7" s="17">
        <v>1023.2</v>
      </c>
      <c r="P7" s="6">
        <v>1103.1</v>
      </c>
      <c r="Q7" s="6">
        <v>807.3</v>
      </c>
      <c r="R7" s="9">
        <v>1236.2</v>
      </c>
      <c r="S7" s="9">
        <v>1375</v>
      </c>
      <c r="T7" s="262"/>
      <c r="U7" s="6">
        <v>446.4</v>
      </c>
      <c r="V7" s="6">
        <v>442</v>
      </c>
      <c r="W7" s="6">
        <v>-87.9</v>
      </c>
      <c r="X7" s="9">
        <v>597.7</v>
      </c>
      <c r="Y7" s="9">
        <v>684.4</v>
      </c>
      <c r="Z7" s="6"/>
      <c r="AA7" s="18">
        <v>1.93</v>
      </c>
      <c r="AB7" s="2">
        <v>1.6</v>
      </c>
      <c r="AC7" s="2">
        <v>-2.05</v>
      </c>
      <c r="AD7" s="12">
        <v>1.94</v>
      </c>
      <c r="AE7" s="12">
        <v>2.4</v>
      </c>
      <c r="AF7" s="263"/>
      <c r="AG7" s="25">
        <f t="shared" si="1"/>
        <v>9132.2</v>
      </c>
      <c r="AH7" s="25">
        <f t="shared" si="2"/>
        <v>10115</v>
      </c>
      <c r="AI7" s="25">
        <f t="shared" si="3"/>
        <v>11233.299999999997</v>
      </c>
      <c r="AJ7" s="25">
        <f t="shared" si="4"/>
        <v>11465.6</v>
      </c>
      <c r="AK7" s="25">
        <f t="shared" si="5"/>
        <v>11921.6</v>
      </c>
      <c r="AL7" s="4"/>
      <c r="AM7" s="31">
        <f t="shared" si="6"/>
        <v>1023.2000000000002</v>
      </c>
      <c r="AN7" s="25">
        <f t="shared" si="7"/>
        <v>1103.1</v>
      </c>
      <c r="AO7" s="25">
        <f t="shared" si="8"/>
        <v>807.2999999999998</v>
      </c>
      <c r="AP7" s="25">
        <f t="shared" si="9"/>
        <v>1236.2</v>
      </c>
      <c r="AQ7" s="25">
        <f t="shared" si="10"/>
        <v>1375</v>
      </c>
      <c r="AR7" s="148"/>
      <c r="AS7" s="25">
        <f t="shared" si="11"/>
        <v>446.3999999999999</v>
      </c>
      <c r="AT7" s="25">
        <f t="shared" si="12"/>
        <v>442</v>
      </c>
      <c r="AU7" s="25">
        <f t="shared" si="13"/>
        <v>-87.90000000000002</v>
      </c>
      <c r="AV7" s="25">
        <f t="shared" si="14"/>
        <v>597.7</v>
      </c>
      <c r="AW7" s="25">
        <f t="shared" si="15"/>
        <v>684.4</v>
      </c>
      <c r="AX7" s="3"/>
      <c r="AY7" s="32">
        <f t="shared" si="16"/>
        <v>1.93</v>
      </c>
      <c r="AZ7" s="26">
        <f t="shared" si="17"/>
        <v>1.6000000000000003</v>
      </c>
      <c r="BA7" s="26">
        <f t="shared" si="18"/>
        <v>-2.05</v>
      </c>
      <c r="BB7" s="26">
        <f t="shared" si="19"/>
        <v>1.9400000000000002</v>
      </c>
      <c r="BC7" s="26">
        <f t="shared" si="20"/>
        <v>2.4</v>
      </c>
      <c r="BD7" s="148"/>
      <c r="BE7" s="28">
        <f t="shared" si="35"/>
        <v>0.6474781542235166</v>
      </c>
      <c r="BF7" s="28">
        <f t="shared" si="21"/>
        <v>0.5845674740484428</v>
      </c>
      <c r="BG7" s="28">
        <f t="shared" si="22"/>
        <v>0.5263724818174534</v>
      </c>
      <c r="BH7" s="28">
        <f t="shared" si="23"/>
        <v>0.5157078565447948</v>
      </c>
      <c r="BI7" s="28">
        <f t="shared" si="24"/>
        <v>0.4959820829418869</v>
      </c>
      <c r="BJ7" s="3"/>
      <c r="BK7" s="37">
        <f t="shared" si="25"/>
        <v>5.778831118060983</v>
      </c>
      <c r="BL7" s="28">
        <f t="shared" si="26"/>
        <v>5.360257456259631</v>
      </c>
      <c r="BM7" s="28">
        <f t="shared" si="27"/>
        <v>7.324290846029976</v>
      </c>
      <c r="BN7" s="28">
        <f t="shared" si="28"/>
        <v>4.783125707814269</v>
      </c>
      <c r="BO7" s="28">
        <f t="shared" si="29"/>
        <v>4.300290909090908</v>
      </c>
      <c r="BP7" s="148"/>
      <c r="BQ7" s="28">
        <f t="shared" si="30"/>
        <v>13.245743727598565</v>
      </c>
      <c r="BR7" s="28">
        <f t="shared" si="31"/>
        <v>13.377601809954749</v>
      </c>
      <c r="BS7" s="28">
        <f t="shared" si="32"/>
        <v>-67.26848691695105</v>
      </c>
      <c r="BT7" s="28">
        <f t="shared" si="33"/>
        <v>9.892755562991464</v>
      </c>
      <c r="BU7" s="28">
        <f t="shared" si="34"/>
        <v>8.639538281706603</v>
      </c>
      <c r="BV7" s="3"/>
      <c r="BW7" s="37">
        <f t="shared" si="36"/>
        <v>8.652849740932643</v>
      </c>
      <c r="BX7" s="28">
        <f t="shared" si="37"/>
        <v>10.437499999999998</v>
      </c>
      <c r="BY7" s="28">
        <f t="shared" si="38"/>
        <v>-8.146341463414634</v>
      </c>
      <c r="BZ7" s="28">
        <f t="shared" si="39"/>
        <v>8.608247422680412</v>
      </c>
      <c r="CA7" s="28">
        <f t="shared" si="40"/>
        <v>6.958333333333333</v>
      </c>
      <c r="CB7" s="148"/>
      <c r="CC7" s="38">
        <f t="shared" si="41"/>
        <v>0.06890665985326438</v>
      </c>
      <c r="CD7" s="39">
        <f t="shared" si="42"/>
        <v>1.2557348969401139</v>
      </c>
      <c r="CE7" s="148"/>
    </row>
    <row r="8" spans="1:83" s="42" customFormat="1" ht="18">
      <c r="A8" s="146"/>
      <c r="B8" s="1" t="s">
        <v>15</v>
      </c>
      <c r="C8" s="26">
        <f>+'PG-Ermittlung Market Cap &amp; EV'!K8</f>
        <v>31.34</v>
      </c>
      <c r="D8" s="49">
        <f>+'PG-Ermittlung Market Cap &amp; EV'!L8</f>
        <v>1206.6</v>
      </c>
      <c r="E8" s="49">
        <f>+'PG-Ermittlung Market Cap &amp; EV'!M8</f>
        <v>2675.6</v>
      </c>
      <c r="F8" s="4" t="s">
        <v>53</v>
      </c>
      <c r="G8" s="5">
        <v>37256</v>
      </c>
      <c r="H8" s="257">
        <f t="shared" si="0"/>
        <v>12</v>
      </c>
      <c r="I8" s="6">
        <v>6639</v>
      </c>
      <c r="J8" s="6">
        <v>6597</v>
      </c>
      <c r="K8" s="6">
        <v>5681</v>
      </c>
      <c r="L8" s="9">
        <v>5750</v>
      </c>
      <c r="M8" s="9">
        <v>6025</v>
      </c>
      <c r="N8" s="6"/>
      <c r="O8" s="17">
        <v>625</v>
      </c>
      <c r="P8" s="6">
        <v>479</v>
      </c>
      <c r="Q8" s="6">
        <v>304</v>
      </c>
      <c r="R8" s="9" t="s">
        <v>50</v>
      </c>
      <c r="S8" s="9" t="s">
        <v>50</v>
      </c>
      <c r="T8" s="262"/>
      <c r="U8" s="6">
        <v>392</v>
      </c>
      <c r="V8" s="6">
        <v>239</v>
      </c>
      <c r="W8" s="6">
        <v>73</v>
      </c>
      <c r="X8" s="9" t="s">
        <v>50</v>
      </c>
      <c r="Y8" s="9" t="s">
        <v>50</v>
      </c>
      <c r="Z8" s="6"/>
      <c r="AA8" s="18">
        <v>4.13</v>
      </c>
      <c r="AB8" s="2">
        <v>0.2</v>
      </c>
      <c r="AC8" s="2">
        <v>-2.66</v>
      </c>
      <c r="AD8" s="12">
        <v>0.7</v>
      </c>
      <c r="AE8" s="12">
        <v>2.48</v>
      </c>
      <c r="AF8" s="263"/>
      <c r="AG8" s="25">
        <f t="shared" si="1"/>
        <v>6639</v>
      </c>
      <c r="AH8" s="25">
        <f t="shared" si="2"/>
        <v>6597</v>
      </c>
      <c r="AI8" s="25">
        <f t="shared" si="3"/>
        <v>5681</v>
      </c>
      <c r="AJ8" s="25">
        <f t="shared" si="4"/>
        <v>5750</v>
      </c>
      <c r="AK8" s="25">
        <f t="shared" si="5"/>
        <v>6025</v>
      </c>
      <c r="AL8" s="4"/>
      <c r="AM8" s="31">
        <f t="shared" si="6"/>
        <v>625</v>
      </c>
      <c r="AN8" s="25">
        <f t="shared" si="7"/>
        <v>479</v>
      </c>
      <c r="AO8" s="25">
        <f t="shared" si="8"/>
        <v>304</v>
      </c>
      <c r="AP8" s="25" t="str">
        <f t="shared" si="9"/>
        <v>n/a</v>
      </c>
      <c r="AQ8" s="25" t="str">
        <f t="shared" si="10"/>
        <v>n/a</v>
      </c>
      <c r="AR8" s="148"/>
      <c r="AS8" s="25">
        <f t="shared" si="11"/>
        <v>392</v>
      </c>
      <c r="AT8" s="25">
        <f t="shared" si="12"/>
        <v>239</v>
      </c>
      <c r="AU8" s="25">
        <f t="shared" si="13"/>
        <v>73</v>
      </c>
      <c r="AV8" s="25" t="str">
        <f t="shared" si="14"/>
        <v>n/a</v>
      </c>
      <c r="AW8" s="25" t="str">
        <f t="shared" si="15"/>
        <v>n/a</v>
      </c>
      <c r="AX8" s="3"/>
      <c r="AY8" s="32">
        <f t="shared" si="16"/>
        <v>4.13</v>
      </c>
      <c r="AZ8" s="26">
        <f t="shared" si="17"/>
        <v>0.20000000000000004</v>
      </c>
      <c r="BA8" s="26">
        <f t="shared" si="18"/>
        <v>-2.66</v>
      </c>
      <c r="BB8" s="26">
        <f t="shared" si="19"/>
        <v>0.6999999999999998</v>
      </c>
      <c r="BC8" s="26">
        <f t="shared" si="20"/>
        <v>2.48</v>
      </c>
      <c r="BD8" s="148"/>
      <c r="BE8" s="28">
        <f t="shared" si="35"/>
        <v>0.4030125018828137</v>
      </c>
      <c r="BF8" s="28">
        <f t="shared" si="21"/>
        <v>0.4055782931635592</v>
      </c>
      <c r="BG8" s="28">
        <f t="shared" si="22"/>
        <v>0.4709734201725048</v>
      </c>
      <c r="BH8" s="28">
        <f t="shared" si="23"/>
        <v>0.4653217391304348</v>
      </c>
      <c r="BI8" s="28">
        <f t="shared" si="24"/>
        <v>0.4440829875518672</v>
      </c>
      <c r="BJ8" s="3"/>
      <c r="BK8" s="37">
        <f t="shared" si="25"/>
        <v>4.280959999999999</v>
      </c>
      <c r="BL8" s="28">
        <f t="shared" si="26"/>
        <v>5.58580375782881</v>
      </c>
      <c r="BM8" s="28">
        <f t="shared" si="27"/>
        <v>8.801315789473684</v>
      </c>
      <c r="BN8" s="28" t="str">
        <f t="shared" si="28"/>
        <v>n/a</v>
      </c>
      <c r="BO8" s="28" t="str">
        <f t="shared" si="29"/>
        <v>n/a</v>
      </c>
      <c r="BP8" s="148"/>
      <c r="BQ8" s="28">
        <f t="shared" si="30"/>
        <v>6.825510204081632</v>
      </c>
      <c r="BR8" s="28">
        <f t="shared" si="31"/>
        <v>11.194979079497907</v>
      </c>
      <c r="BS8" s="28">
        <f t="shared" si="32"/>
        <v>36.652054794520545</v>
      </c>
      <c r="BT8" s="28" t="str">
        <f t="shared" si="33"/>
        <v>n/a</v>
      </c>
      <c r="BU8" s="28" t="str">
        <f t="shared" si="34"/>
        <v>n/a</v>
      </c>
      <c r="BV8" s="3"/>
      <c r="BW8" s="37">
        <f t="shared" si="36"/>
        <v>7.588377723970945</v>
      </c>
      <c r="BX8" s="28">
        <f t="shared" si="37"/>
        <v>156.69999999999996</v>
      </c>
      <c r="BY8" s="28">
        <f t="shared" si="38"/>
        <v>-11.781954887218044</v>
      </c>
      <c r="BZ8" s="28">
        <f t="shared" si="39"/>
        <v>44.77142857142858</v>
      </c>
      <c r="CA8" s="28">
        <f t="shared" si="40"/>
        <v>12.637096774193548</v>
      </c>
      <c r="CB8" s="148"/>
      <c r="CC8" s="38">
        <f t="shared" si="41"/>
        <v>-0.023969035929361948</v>
      </c>
      <c r="CD8" s="39">
        <f t="shared" si="42"/>
        <v>-3.1659086107319068</v>
      </c>
      <c r="CE8" s="148"/>
    </row>
    <row r="9" spans="1:83" s="42" customFormat="1" ht="18">
      <c r="A9" s="146"/>
      <c r="B9" s="1" t="s">
        <v>12</v>
      </c>
      <c r="C9" s="26">
        <f>+'PG-Ermittlung Market Cap &amp; EV'!K9</f>
        <v>16.86</v>
      </c>
      <c r="D9" s="49">
        <f>+'PG-Ermittlung Market Cap &amp; EV'!L9</f>
        <v>2505.1</v>
      </c>
      <c r="E9" s="49">
        <f>+'PG-Ermittlung Market Cap &amp; EV'!M9</f>
        <v>5126.1</v>
      </c>
      <c r="F9" s="4" t="s">
        <v>53</v>
      </c>
      <c r="G9" s="5">
        <v>37256</v>
      </c>
      <c r="H9" s="257">
        <f t="shared" si="0"/>
        <v>12</v>
      </c>
      <c r="I9" s="6">
        <v>13159</v>
      </c>
      <c r="J9" s="6">
        <v>12317</v>
      </c>
      <c r="K9" s="6">
        <v>10271</v>
      </c>
      <c r="L9" s="9">
        <v>10338</v>
      </c>
      <c r="M9" s="9">
        <v>10735</v>
      </c>
      <c r="N9" s="6"/>
      <c r="O9" s="17">
        <v>1522</v>
      </c>
      <c r="P9" s="6">
        <v>1109</v>
      </c>
      <c r="Q9" s="6">
        <v>566</v>
      </c>
      <c r="R9" s="9">
        <v>806.4</v>
      </c>
      <c r="S9" s="9">
        <v>927.6</v>
      </c>
      <c r="T9" s="262"/>
      <c r="U9" s="6">
        <v>1003</v>
      </c>
      <c r="V9" s="6">
        <v>586</v>
      </c>
      <c r="W9" s="6">
        <v>18</v>
      </c>
      <c r="X9" s="9">
        <v>396.6</v>
      </c>
      <c r="Y9" s="9">
        <v>522.8</v>
      </c>
      <c r="Z9" s="6"/>
      <c r="AA9" s="18">
        <v>3.08</v>
      </c>
      <c r="AB9" s="2">
        <v>2.18</v>
      </c>
      <c r="AC9" s="2">
        <v>-2.01</v>
      </c>
      <c r="AD9" s="12">
        <v>1.15</v>
      </c>
      <c r="AE9" s="12">
        <v>1.71</v>
      </c>
      <c r="AF9" s="263"/>
      <c r="AG9" s="25">
        <f t="shared" si="1"/>
        <v>13159</v>
      </c>
      <c r="AH9" s="25">
        <f t="shared" si="2"/>
        <v>12317</v>
      </c>
      <c r="AI9" s="25">
        <f t="shared" si="3"/>
        <v>10271</v>
      </c>
      <c r="AJ9" s="25">
        <f t="shared" si="4"/>
        <v>10338</v>
      </c>
      <c r="AK9" s="25">
        <f t="shared" si="5"/>
        <v>10735</v>
      </c>
      <c r="AL9" s="4"/>
      <c r="AM9" s="31">
        <f t="shared" si="6"/>
        <v>1522</v>
      </c>
      <c r="AN9" s="25">
        <f t="shared" si="7"/>
        <v>1109</v>
      </c>
      <c r="AO9" s="25">
        <f t="shared" si="8"/>
        <v>566</v>
      </c>
      <c r="AP9" s="25">
        <f t="shared" si="9"/>
        <v>806.4</v>
      </c>
      <c r="AQ9" s="25">
        <f t="shared" si="10"/>
        <v>927.6</v>
      </c>
      <c r="AR9" s="148"/>
      <c r="AS9" s="25">
        <f t="shared" si="11"/>
        <v>1003</v>
      </c>
      <c r="AT9" s="25">
        <f t="shared" si="12"/>
        <v>586</v>
      </c>
      <c r="AU9" s="25">
        <f t="shared" si="13"/>
        <v>18</v>
      </c>
      <c r="AV9" s="25">
        <f t="shared" si="14"/>
        <v>396.6000000000001</v>
      </c>
      <c r="AW9" s="25">
        <f t="shared" si="15"/>
        <v>522.8</v>
      </c>
      <c r="AX9" s="3"/>
      <c r="AY9" s="32">
        <f t="shared" si="16"/>
        <v>3.08</v>
      </c>
      <c r="AZ9" s="26">
        <f t="shared" si="17"/>
        <v>2.18</v>
      </c>
      <c r="BA9" s="26">
        <f t="shared" si="18"/>
        <v>-2.01</v>
      </c>
      <c r="BB9" s="26">
        <f t="shared" si="19"/>
        <v>1.15</v>
      </c>
      <c r="BC9" s="26">
        <f t="shared" si="20"/>
        <v>1.71</v>
      </c>
      <c r="BD9" s="148"/>
      <c r="BE9" s="28">
        <f t="shared" si="35"/>
        <v>0.389550877726271</v>
      </c>
      <c r="BF9" s="28">
        <f t="shared" si="21"/>
        <v>0.4161808882032963</v>
      </c>
      <c r="BG9" s="28">
        <f t="shared" si="22"/>
        <v>0.4990848018693409</v>
      </c>
      <c r="BH9" s="28">
        <f t="shared" si="23"/>
        <v>0.4958502611723738</v>
      </c>
      <c r="BI9" s="28">
        <f t="shared" si="24"/>
        <v>0.47751280857009787</v>
      </c>
      <c r="BJ9" s="3"/>
      <c r="BK9" s="37">
        <f t="shared" si="25"/>
        <v>3.3680026281208937</v>
      </c>
      <c r="BL9" s="28">
        <f t="shared" si="26"/>
        <v>4.622272317403066</v>
      </c>
      <c r="BM9" s="28">
        <f t="shared" si="27"/>
        <v>9.056713780918729</v>
      </c>
      <c r="BN9" s="28">
        <f t="shared" si="28"/>
        <v>6.356770833333334</v>
      </c>
      <c r="BO9" s="28">
        <f t="shared" si="29"/>
        <v>5.5261966364812425</v>
      </c>
      <c r="BP9" s="148"/>
      <c r="BQ9" s="28">
        <f t="shared" si="30"/>
        <v>5.110767696909273</v>
      </c>
      <c r="BR9" s="28">
        <f t="shared" si="31"/>
        <v>8.747610921501707</v>
      </c>
      <c r="BS9" s="28">
        <f t="shared" si="32"/>
        <v>284.78333333333336</v>
      </c>
      <c r="BT9" s="28">
        <f t="shared" si="33"/>
        <v>12.925113464447804</v>
      </c>
      <c r="BU9" s="28">
        <f t="shared" si="34"/>
        <v>9.805087987758226</v>
      </c>
      <c r="BV9" s="3"/>
      <c r="BW9" s="37">
        <f t="shared" si="36"/>
        <v>5.474025974025974</v>
      </c>
      <c r="BX9" s="28">
        <f t="shared" si="37"/>
        <v>7.7339449541284395</v>
      </c>
      <c r="BY9" s="28">
        <f t="shared" si="38"/>
        <v>-8.388059701492537</v>
      </c>
      <c r="BZ9" s="28">
        <f t="shared" si="39"/>
        <v>14.660869565217393</v>
      </c>
      <c r="CA9" s="28">
        <f t="shared" si="40"/>
        <v>9.859649122807017</v>
      </c>
      <c r="CB9" s="148"/>
      <c r="CC9" s="38">
        <f t="shared" si="41"/>
        <v>-0.04962546618332242</v>
      </c>
      <c r="CD9" s="39">
        <f t="shared" si="42"/>
        <v>-1.1030679195645772</v>
      </c>
      <c r="CE9" s="148"/>
    </row>
    <row r="10" spans="1:83" s="42" customFormat="1" ht="18">
      <c r="A10" s="146"/>
      <c r="B10" s="1" t="s">
        <v>13</v>
      </c>
      <c r="C10" s="26">
        <f>+'PG-Ermittlung Market Cap &amp; EV'!K10</f>
        <v>9.29</v>
      </c>
      <c r="D10" s="49">
        <f>+'PG-Ermittlung Market Cap &amp; EV'!L10</f>
        <v>5196.8</v>
      </c>
      <c r="E10" s="49">
        <f>+'PG-Ermittlung Market Cap &amp; EV'!M10</f>
        <v>13335.8</v>
      </c>
      <c r="F10" s="4" t="s">
        <v>53</v>
      </c>
      <c r="G10" s="5">
        <v>37256</v>
      </c>
      <c r="H10" s="257">
        <f t="shared" si="0"/>
        <v>12</v>
      </c>
      <c r="I10" s="6">
        <v>29192</v>
      </c>
      <c r="J10" s="6">
        <v>29139</v>
      </c>
      <c r="K10" s="6">
        <v>26088</v>
      </c>
      <c r="L10" s="9">
        <v>26695.4</v>
      </c>
      <c r="M10" s="9">
        <v>26505.7</v>
      </c>
      <c r="N10" s="6"/>
      <c r="O10" s="17">
        <v>2538</v>
      </c>
      <c r="P10" s="6">
        <v>2629</v>
      </c>
      <c r="Q10" s="6">
        <v>1402</v>
      </c>
      <c r="R10" s="9">
        <v>1894.7</v>
      </c>
      <c r="S10" s="9">
        <v>2376</v>
      </c>
      <c r="T10" s="262"/>
      <c r="U10" s="6">
        <v>1682</v>
      </c>
      <c r="V10" s="6">
        <v>1693</v>
      </c>
      <c r="W10" s="6">
        <v>252</v>
      </c>
      <c r="X10" s="9">
        <v>910.1</v>
      </c>
      <c r="Y10" s="9">
        <v>1418.3</v>
      </c>
      <c r="Z10" s="6"/>
      <c r="AA10" s="18">
        <v>1.95</v>
      </c>
      <c r="AB10" s="2">
        <v>1.88</v>
      </c>
      <c r="AC10" s="2">
        <v>-0.66</v>
      </c>
      <c r="AD10" s="12">
        <v>0.85</v>
      </c>
      <c r="AE10" s="12">
        <v>1.17</v>
      </c>
      <c r="AF10" s="263"/>
      <c r="AG10" s="25">
        <f t="shared" si="1"/>
        <v>29192</v>
      </c>
      <c r="AH10" s="25">
        <f t="shared" si="2"/>
        <v>29139</v>
      </c>
      <c r="AI10" s="25">
        <f t="shared" si="3"/>
        <v>26088</v>
      </c>
      <c r="AJ10" s="25">
        <f t="shared" si="4"/>
        <v>26695.400000000005</v>
      </c>
      <c r="AK10" s="25">
        <f t="shared" si="5"/>
        <v>26505.7</v>
      </c>
      <c r="AL10" s="4"/>
      <c r="AM10" s="31">
        <f t="shared" si="6"/>
        <v>2538</v>
      </c>
      <c r="AN10" s="25">
        <f t="shared" si="7"/>
        <v>2629</v>
      </c>
      <c r="AO10" s="25">
        <f t="shared" si="8"/>
        <v>1402</v>
      </c>
      <c r="AP10" s="25">
        <f t="shared" si="9"/>
        <v>1894.7</v>
      </c>
      <c r="AQ10" s="25">
        <f t="shared" si="10"/>
        <v>2376</v>
      </c>
      <c r="AR10" s="148"/>
      <c r="AS10" s="25">
        <f t="shared" si="11"/>
        <v>1682</v>
      </c>
      <c r="AT10" s="25">
        <f t="shared" si="12"/>
        <v>1693</v>
      </c>
      <c r="AU10" s="25">
        <f t="shared" si="13"/>
        <v>252</v>
      </c>
      <c r="AV10" s="25">
        <f t="shared" si="14"/>
        <v>910.1</v>
      </c>
      <c r="AW10" s="25">
        <f t="shared" si="15"/>
        <v>1418.3</v>
      </c>
      <c r="AX10" s="3"/>
      <c r="AY10" s="32">
        <f t="shared" si="16"/>
        <v>1.95</v>
      </c>
      <c r="AZ10" s="26">
        <f t="shared" si="17"/>
        <v>1.88</v>
      </c>
      <c r="BA10" s="26">
        <f t="shared" si="18"/>
        <v>-0.66</v>
      </c>
      <c r="BB10" s="26">
        <f t="shared" si="19"/>
        <v>0.85</v>
      </c>
      <c r="BC10" s="26">
        <f t="shared" si="20"/>
        <v>1.17</v>
      </c>
      <c r="BD10" s="148"/>
      <c r="BE10" s="28">
        <f t="shared" si="35"/>
        <v>0.4568306385311044</v>
      </c>
      <c r="BF10" s="28">
        <f t="shared" si="21"/>
        <v>0.4576615532447922</v>
      </c>
      <c r="BG10" s="28">
        <f t="shared" si="22"/>
        <v>0.5111852192578963</v>
      </c>
      <c r="BH10" s="28">
        <f t="shared" si="23"/>
        <v>0.4995542303168335</v>
      </c>
      <c r="BI10" s="28">
        <f t="shared" si="24"/>
        <v>0.5031295155381672</v>
      </c>
      <c r="BJ10" s="3"/>
      <c r="BK10" s="37">
        <f t="shared" si="25"/>
        <v>5.25445232466509</v>
      </c>
      <c r="BL10" s="28">
        <f t="shared" si="26"/>
        <v>5.0725751236211485</v>
      </c>
      <c r="BM10" s="28">
        <f t="shared" si="27"/>
        <v>9.511982881597717</v>
      </c>
      <c r="BN10" s="28">
        <f t="shared" si="28"/>
        <v>7.038475748139547</v>
      </c>
      <c r="BO10" s="28">
        <f t="shared" si="29"/>
        <v>5.6127104377104375</v>
      </c>
      <c r="BP10" s="148"/>
      <c r="BQ10" s="28">
        <f t="shared" si="30"/>
        <v>7.9285374554102255</v>
      </c>
      <c r="BR10" s="28">
        <f t="shared" si="31"/>
        <v>7.877023036030714</v>
      </c>
      <c r="BS10" s="28">
        <f t="shared" si="32"/>
        <v>52.919841269841264</v>
      </c>
      <c r="BT10" s="28">
        <f t="shared" si="33"/>
        <v>14.653115042303043</v>
      </c>
      <c r="BU10" s="28">
        <f t="shared" si="34"/>
        <v>9.402665162518508</v>
      </c>
      <c r="BV10" s="3"/>
      <c r="BW10" s="37">
        <f t="shared" si="36"/>
        <v>4.764102564102564</v>
      </c>
      <c r="BX10" s="28">
        <f t="shared" si="37"/>
        <v>4.941489361702128</v>
      </c>
      <c r="BY10" s="28">
        <f t="shared" si="38"/>
        <v>-14.075757575757574</v>
      </c>
      <c r="BZ10" s="28">
        <f t="shared" si="39"/>
        <v>10.92941176470588</v>
      </c>
      <c r="CA10" s="28">
        <f t="shared" si="40"/>
        <v>7.9401709401709395</v>
      </c>
      <c r="CB10" s="148"/>
      <c r="CC10" s="38">
        <f t="shared" si="41"/>
        <v>-0.023844834083030286</v>
      </c>
      <c r="CD10" s="39">
        <f t="shared" si="42"/>
        <v>-1.9979600392745214</v>
      </c>
      <c r="CE10" s="148"/>
    </row>
    <row r="11" spans="1:83" s="42" customFormat="1" ht="18">
      <c r="A11" s="146"/>
      <c r="B11" s="1" t="s">
        <v>14</v>
      </c>
      <c r="C11" s="26">
        <f>+'PG-Ermittlung Market Cap &amp; EV'!K11</f>
        <v>1770</v>
      </c>
      <c r="D11" s="49">
        <f>+'PG-Ermittlung Market Cap &amp; EV'!L11/1000</f>
        <v>1533.308</v>
      </c>
      <c r="E11" s="49">
        <f>+'PG-Ermittlung Market Cap &amp; EV'!M11/1000</f>
        <v>1057.364</v>
      </c>
      <c r="F11" s="4" t="s">
        <v>56</v>
      </c>
      <c r="G11" s="5">
        <v>37346</v>
      </c>
      <c r="H11" s="257">
        <f t="shared" si="0"/>
        <v>3</v>
      </c>
      <c r="I11" s="6">
        <v>1758.8</v>
      </c>
      <c r="J11" s="6">
        <v>1883.4</v>
      </c>
      <c r="K11" s="6">
        <v>2015</v>
      </c>
      <c r="L11" s="6">
        <v>2401.1</v>
      </c>
      <c r="M11" s="9">
        <v>2215</v>
      </c>
      <c r="N11" s="9">
        <v>2270</v>
      </c>
      <c r="O11" s="17">
        <v>226</v>
      </c>
      <c r="P11" s="6">
        <v>252.4</v>
      </c>
      <c r="Q11" s="6">
        <v>266.6</v>
      </c>
      <c r="R11" s="6">
        <v>285.4</v>
      </c>
      <c r="S11" s="9">
        <v>289</v>
      </c>
      <c r="T11" s="261">
        <v>289.5</v>
      </c>
      <c r="U11" s="6">
        <v>101.7</v>
      </c>
      <c r="V11" s="6">
        <v>116.7</v>
      </c>
      <c r="W11" s="6">
        <v>123.5</v>
      </c>
      <c r="X11" s="6">
        <v>133.3</v>
      </c>
      <c r="Y11" s="9">
        <v>135.3</v>
      </c>
      <c r="Z11" s="9">
        <v>141</v>
      </c>
      <c r="AA11" s="18">
        <v>65.45</v>
      </c>
      <c r="AB11" s="2">
        <v>68.15</v>
      </c>
      <c r="AC11" s="2">
        <v>66.51</v>
      </c>
      <c r="AD11" s="2">
        <v>80.22</v>
      </c>
      <c r="AE11" s="12">
        <v>159.29</v>
      </c>
      <c r="AF11" s="268">
        <v>93.6</v>
      </c>
      <c r="AG11" s="25">
        <f t="shared" si="1"/>
        <v>1852.2500000000002</v>
      </c>
      <c r="AH11" s="25">
        <f t="shared" si="2"/>
        <v>1982.1000000000001</v>
      </c>
      <c r="AI11" s="25">
        <f t="shared" si="3"/>
        <v>2304.575</v>
      </c>
      <c r="AJ11" s="25">
        <f t="shared" si="4"/>
        <v>2261.525</v>
      </c>
      <c r="AK11" s="25">
        <f t="shared" si="5"/>
        <v>2256.25</v>
      </c>
      <c r="AL11" s="4"/>
      <c r="AM11" s="31">
        <f t="shared" si="6"/>
        <v>245.79999999999998</v>
      </c>
      <c r="AN11" s="25">
        <f t="shared" si="7"/>
        <v>263.05</v>
      </c>
      <c r="AO11" s="25">
        <f t="shared" si="8"/>
        <v>280.7</v>
      </c>
      <c r="AP11" s="25">
        <f t="shared" si="9"/>
        <v>288.1</v>
      </c>
      <c r="AQ11" s="25">
        <f t="shared" si="10"/>
        <v>289.375</v>
      </c>
      <c r="AR11" s="148"/>
      <c r="AS11" s="25">
        <f t="shared" si="11"/>
        <v>112.94999999999999</v>
      </c>
      <c r="AT11" s="25">
        <f t="shared" si="12"/>
        <v>121.8</v>
      </c>
      <c r="AU11" s="25">
        <f t="shared" si="13"/>
        <v>130.85000000000002</v>
      </c>
      <c r="AV11" s="25">
        <f t="shared" si="14"/>
        <v>134.8</v>
      </c>
      <c r="AW11" s="25">
        <f t="shared" si="15"/>
        <v>139.575</v>
      </c>
      <c r="AX11" s="3"/>
      <c r="AY11" s="32">
        <f t="shared" si="16"/>
        <v>67.47500000000001</v>
      </c>
      <c r="AZ11" s="26">
        <f t="shared" si="17"/>
        <v>66.92</v>
      </c>
      <c r="BA11" s="26">
        <f t="shared" si="18"/>
        <v>76.7925</v>
      </c>
      <c r="BB11" s="26">
        <f t="shared" si="19"/>
        <v>139.52249999999998</v>
      </c>
      <c r="BC11" s="26">
        <f t="shared" si="20"/>
        <v>110.02250000000001</v>
      </c>
      <c r="BD11" s="148"/>
      <c r="BE11" s="28">
        <f t="shared" si="35"/>
        <v>0.5708538264273181</v>
      </c>
      <c r="BF11" s="28">
        <f t="shared" si="21"/>
        <v>0.5334564350940921</v>
      </c>
      <c r="BG11" s="28">
        <f t="shared" si="22"/>
        <v>0.45881084364796115</v>
      </c>
      <c r="BH11" s="28">
        <f t="shared" si="23"/>
        <v>0.4675446877659986</v>
      </c>
      <c r="BI11" s="28">
        <f t="shared" si="24"/>
        <v>0.468637783933518</v>
      </c>
      <c r="BJ11" s="3"/>
      <c r="BK11" s="37">
        <f t="shared" si="25"/>
        <v>4.3017249796582595</v>
      </c>
      <c r="BL11" s="28">
        <f t="shared" si="26"/>
        <v>4.019631248812013</v>
      </c>
      <c r="BM11" s="28">
        <f t="shared" si="27"/>
        <v>3.7668827930174564</v>
      </c>
      <c r="BN11" s="28">
        <f t="shared" si="28"/>
        <v>3.670128427629295</v>
      </c>
      <c r="BO11" s="28">
        <f t="shared" si="29"/>
        <v>3.653957667386609</v>
      </c>
      <c r="BP11" s="148"/>
      <c r="BQ11" s="28">
        <f t="shared" si="30"/>
        <v>9.36134572819832</v>
      </c>
      <c r="BR11" s="28">
        <f t="shared" si="31"/>
        <v>8.681149425287357</v>
      </c>
      <c r="BS11" s="28">
        <f t="shared" si="32"/>
        <v>8.080733664501336</v>
      </c>
      <c r="BT11" s="28">
        <f t="shared" si="33"/>
        <v>7.843946587537092</v>
      </c>
      <c r="BU11" s="28">
        <f t="shared" si="34"/>
        <v>7.575597349095469</v>
      </c>
      <c r="BV11" s="3"/>
      <c r="BW11" s="37">
        <f t="shared" si="36"/>
        <v>26.23193775472397</v>
      </c>
      <c r="BX11" s="28">
        <f t="shared" si="37"/>
        <v>26.449491930663477</v>
      </c>
      <c r="BY11" s="28">
        <f t="shared" si="38"/>
        <v>23.049125891200312</v>
      </c>
      <c r="BZ11" s="28">
        <f t="shared" si="39"/>
        <v>12.686125893673065</v>
      </c>
      <c r="CA11" s="28">
        <f t="shared" si="40"/>
        <v>16.08761844168238</v>
      </c>
      <c r="CB11" s="148"/>
      <c r="CC11" s="38">
        <f t="shared" si="41"/>
        <v>0.05056252278105955</v>
      </c>
      <c r="CD11" s="39">
        <f t="shared" si="42"/>
        <v>5.1880199625937795</v>
      </c>
      <c r="CE11" s="148"/>
    </row>
    <row r="12" spans="1:83" s="42" customFormat="1" ht="18">
      <c r="A12" s="146"/>
      <c r="B12" s="1" t="s">
        <v>11</v>
      </c>
      <c r="C12" s="26">
        <f>+'PG-Ermittlung Market Cap &amp; EV'!K12</f>
        <v>72.83</v>
      </c>
      <c r="D12" s="49">
        <f>+'PG-Ermittlung Market Cap &amp; EV'!L12</f>
        <v>5134.5</v>
      </c>
      <c r="E12" s="49">
        <f>+'PG-Ermittlung Market Cap &amp; EV'!M12</f>
        <v>7756.5</v>
      </c>
      <c r="F12" s="4" t="s">
        <v>53</v>
      </c>
      <c r="G12" s="5">
        <v>37256</v>
      </c>
      <c r="H12" s="257">
        <f t="shared" si="0"/>
        <v>12</v>
      </c>
      <c r="I12" s="6">
        <v>8005</v>
      </c>
      <c r="J12" s="6">
        <v>8309</v>
      </c>
      <c r="K12" s="6">
        <v>7299</v>
      </c>
      <c r="L12" s="9">
        <v>7125</v>
      </c>
      <c r="M12" s="9">
        <v>7616</v>
      </c>
      <c r="N12" s="6"/>
      <c r="O12" s="17">
        <v>1124</v>
      </c>
      <c r="P12" s="6">
        <v>1111</v>
      </c>
      <c r="Q12" s="6">
        <v>797</v>
      </c>
      <c r="R12" s="9" t="s">
        <v>50</v>
      </c>
      <c r="S12" s="9" t="s">
        <v>50</v>
      </c>
      <c r="T12" s="262"/>
      <c r="U12" s="6">
        <v>703</v>
      </c>
      <c r="V12" s="6">
        <v>649</v>
      </c>
      <c r="W12" s="6">
        <v>348</v>
      </c>
      <c r="X12" s="9" t="s">
        <v>50</v>
      </c>
      <c r="Y12" s="9" t="s">
        <v>50</v>
      </c>
      <c r="Z12" s="6"/>
      <c r="AA12" s="18">
        <v>8.36</v>
      </c>
      <c r="AB12" s="2">
        <v>6.24</v>
      </c>
      <c r="AC12" s="2">
        <v>2.39</v>
      </c>
      <c r="AD12" s="12">
        <v>4.25</v>
      </c>
      <c r="AE12" s="12">
        <v>5.62</v>
      </c>
      <c r="AF12" s="263"/>
      <c r="AG12" s="25">
        <f t="shared" si="1"/>
        <v>8005</v>
      </c>
      <c r="AH12" s="25">
        <f t="shared" si="2"/>
        <v>8309</v>
      </c>
      <c r="AI12" s="25">
        <f t="shared" si="3"/>
        <v>7299</v>
      </c>
      <c r="AJ12" s="25">
        <f t="shared" si="4"/>
        <v>7125</v>
      </c>
      <c r="AK12" s="25">
        <f t="shared" si="5"/>
        <v>7616</v>
      </c>
      <c r="AL12" s="4"/>
      <c r="AM12" s="31">
        <f t="shared" si="6"/>
        <v>1124</v>
      </c>
      <c r="AN12" s="25">
        <f t="shared" si="7"/>
        <v>1111</v>
      </c>
      <c r="AO12" s="25">
        <f t="shared" si="8"/>
        <v>797</v>
      </c>
      <c r="AP12" s="25" t="str">
        <f t="shared" si="9"/>
        <v>n/a</v>
      </c>
      <c r="AQ12" s="25" t="str">
        <f t="shared" si="10"/>
        <v>n/a</v>
      </c>
      <c r="AR12" s="148"/>
      <c r="AS12" s="25">
        <f t="shared" si="11"/>
        <v>703</v>
      </c>
      <c r="AT12" s="25">
        <f t="shared" si="12"/>
        <v>649</v>
      </c>
      <c r="AU12" s="25">
        <f t="shared" si="13"/>
        <v>348</v>
      </c>
      <c r="AV12" s="25" t="str">
        <f t="shared" si="14"/>
        <v>n/a</v>
      </c>
      <c r="AW12" s="25" t="str">
        <f t="shared" si="15"/>
        <v>n/a</v>
      </c>
      <c r="AX12" s="3"/>
      <c r="AY12" s="32">
        <f t="shared" si="16"/>
        <v>8.36</v>
      </c>
      <c r="AZ12" s="26">
        <f t="shared" si="17"/>
        <v>6.239999999999999</v>
      </c>
      <c r="BA12" s="26">
        <f t="shared" si="18"/>
        <v>2.39</v>
      </c>
      <c r="BB12" s="26">
        <f t="shared" si="19"/>
        <v>4.25</v>
      </c>
      <c r="BC12" s="26">
        <f t="shared" si="20"/>
        <v>5.62</v>
      </c>
      <c r="BD12" s="148"/>
      <c r="BE12" s="28">
        <f t="shared" si="35"/>
        <v>0.9689569019362898</v>
      </c>
      <c r="BF12" s="28">
        <f t="shared" si="21"/>
        <v>0.933505837044169</v>
      </c>
      <c r="BG12" s="28">
        <f t="shared" si="22"/>
        <v>1.0626798191533087</v>
      </c>
      <c r="BH12" s="28">
        <f t="shared" si="23"/>
        <v>1.0886315789473684</v>
      </c>
      <c r="BI12" s="28">
        <f t="shared" si="24"/>
        <v>1.0184480042016806</v>
      </c>
      <c r="BJ12" s="3"/>
      <c r="BK12" s="37">
        <f t="shared" si="25"/>
        <v>6.900800711743773</v>
      </c>
      <c r="BL12" s="28">
        <f t="shared" si="26"/>
        <v>6.981548154815481</v>
      </c>
      <c r="BM12" s="28">
        <f t="shared" si="27"/>
        <v>9.732120451693852</v>
      </c>
      <c r="BN12" s="28" t="str">
        <f t="shared" si="28"/>
        <v>n/a</v>
      </c>
      <c r="BO12" s="28" t="str">
        <f t="shared" si="29"/>
        <v>n/a</v>
      </c>
      <c r="BP12" s="148"/>
      <c r="BQ12" s="28">
        <f t="shared" si="30"/>
        <v>11.033428165007113</v>
      </c>
      <c r="BR12" s="28">
        <f t="shared" si="31"/>
        <v>11.95146379044684</v>
      </c>
      <c r="BS12" s="28">
        <f t="shared" si="32"/>
        <v>22.288793103448278</v>
      </c>
      <c r="BT12" s="28" t="str">
        <f t="shared" si="33"/>
        <v>n/a</v>
      </c>
      <c r="BU12" s="28" t="str">
        <f t="shared" si="34"/>
        <v>n/a</v>
      </c>
      <c r="BV12" s="3"/>
      <c r="BW12" s="37">
        <f t="shared" si="36"/>
        <v>8.711722488038278</v>
      </c>
      <c r="BX12" s="28">
        <f t="shared" si="37"/>
        <v>11.67147435897436</v>
      </c>
      <c r="BY12" s="28">
        <f t="shared" si="38"/>
        <v>30.472803347280333</v>
      </c>
      <c r="BZ12" s="28">
        <f t="shared" si="39"/>
        <v>17.136470588235294</v>
      </c>
      <c r="CA12" s="28">
        <f t="shared" si="40"/>
        <v>12.959074733096084</v>
      </c>
      <c r="CB12" s="148"/>
      <c r="CC12" s="38">
        <f t="shared" si="41"/>
        <v>-0.012376535065000027</v>
      </c>
      <c r="CD12" s="39">
        <f t="shared" si="42"/>
        <v>-7.038902602614861</v>
      </c>
      <c r="CE12" s="148"/>
    </row>
    <row r="13" spans="1:83" s="42" customFormat="1" ht="18">
      <c r="A13" s="146"/>
      <c r="B13" s="1" t="s">
        <v>10</v>
      </c>
      <c r="C13" s="26">
        <f>+'PG-Ermittlung Market Cap &amp; EV'!K13</f>
        <v>23.9</v>
      </c>
      <c r="D13" s="49">
        <f>+'PG-Ermittlung Market Cap &amp; EV'!L13</f>
        <v>222.1</v>
      </c>
      <c r="E13" s="49">
        <f>+'PG-Ermittlung Market Cap &amp; EV'!M13</f>
        <v>449.29</v>
      </c>
      <c r="F13" s="4" t="s">
        <v>54</v>
      </c>
      <c r="G13" s="5">
        <v>37437</v>
      </c>
      <c r="H13" s="257">
        <f t="shared" si="0"/>
        <v>6</v>
      </c>
      <c r="I13" s="6">
        <v>492.1</v>
      </c>
      <c r="J13" s="6">
        <v>593.2</v>
      </c>
      <c r="K13" s="6">
        <v>797.2</v>
      </c>
      <c r="L13" s="9">
        <v>782</v>
      </c>
      <c r="M13" s="9">
        <v>939</v>
      </c>
      <c r="N13" s="9">
        <v>989.1</v>
      </c>
      <c r="O13" s="17">
        <v>46.6</v>
      </c>
      <c r="P13" s="6">
        <v>63.2</v>
      </c>
      <c r="Q13" s="6">
        <v>91.2</v>
      </c>
      <c r="R13" s="9">
        <v>94</v>
      </c>
      <c r="S13" s="9">
        <v>107.3</v>
      </c>
      <c r="T13" s="261">
        <v>109.2</v>
      </c>
      <c r="U13" s="6">
        <v>25.6</v>
      </c>
      <c r="V13" s="6">
        <v>39.3</v>
      </c>
      <c r="W13" s="6">
        <v>57</v>
      </c>
      <c r="X13" s="9">
        <v>58.7</v>
      </c>
      <c r="Y13" s="9">
        <v>66.5</v>
      </c>
      <c r="Z13" s="9">
        <v>68</v>
      </c>
      <c r="AA13" s="18">
        <v>0.32</v>
      </c>
      <c r="AB13" s="2">
        <v>1.51</v>
      </c>
      <c r="AC13" s="2">
        <v>2.23</v>
      </c>
      <c r="AD13" s="12">
        <v>2.28</v>
      </c>
      <c r="AE13" s="12">
        <v>2.88</v>
      </c>
      <c r="AF13" s="268">
        <v>3.2</v>
      </c>
      <c r="AG13" s="25">
        <f t="shared" si="1"/>
        <v>542.6500000000001</v>
      </c>
      <c r="AH13" s="25">
        <f t="shared" si="2"/>
        <v>695.2</v>
      </c>
      <c r="AI13" s="25">
        <f t="shared" si="3"/>
        <v>789.6000000000001</v>
      </c>
      <c r="AJ13" s="25">
        <f t="shared" si="4"/>
        <v>860.5</v>
      </c>
      <c r="AK13" s="25">
        <f t="shared" si="5"/>
        <v>964.05</v>
      </c>
      <c r="AL13" s="4"/>
      <c r="AM13" s="31">
        <f t="shared" si="6"/>
        <v>54.900000000000006</v>
      </c>
      <c r="AN13" s="25">
        <f t="shared" si="7"/>
        <v>77.2</v>
      </c>
      <c r="AO13" s="25">
        <f t="shared" si="8"/>
        <v>92.6</v>
      </c>
      <c r="AP13" s="25">
        <f t="shared" si="9"/>
        <v>100.65</v>
      </c>
      <c r="AQ13" s="25">
        <f t="shared" si="10"/>
        <v>108.25</v>
      </c>
      <c r="AR13" s="148"/>
      <c r="AS13" s="25">
        <f t="shared" si="11"/>
        <v>32.45</v>
      </c>
      <c r="AT13" s="25">
        <f t="shared" si="12"/>
        <v>48.15</v>
      </c>
      <c r="AU13" s="25">
        <f t="shared" si="13"/>
        <v>57.85000000000001</v>
      </c>
      <c r="AV13" s="25">
        <f t="shared" si="14"/>
        <v>62.60000000000001</v>
      </c>
      <c r="AW13" s="25">
        <f t="shared" si="15"/>
        <v>67.25</v>
      </c>
      <c r="AX13" s="3"/>
      <c r="AY13" s="32">
        <f t="shared" si="16"/>
        <v>0.915</v>
      </c>
      <c r="AZ13" s="26">
        <f t="shared" si="17"/>
        <v>1.87</v>
      </c>
      <c r="BA13" s="26">
        <f t="shared" si="18"/>
        <v>2.255</v>
      </c>
      <c r="BB13" s="26">
        <f t="shared" si="19"/>
        <v>2.58</v>
      </c>
      <c r="BC13" s="26">
        <f t="shared" si="20"/>
        <v>3.0400000000000005</v>
      </c>
      <c r="BD13" s="148"/>
      <c r="BE13" s="28">
        <f t="shared" si="35"/>
        <v>0.8279554040357504</v>
      </c>
      <c r="BF13" s="28">
        <f t="shared" si="21"/>
        <v>0.6462744533947066</v>
      </c>
      <c r="BG13" s="28">
        <f t="shared" si="22"/>
        <v>0.5690096251266463</v>
      </c>
      <c r="BH13" s="28">
        <f t="shared" si="23"/>
        <v>0.5221266705403835</v>
      </c>
      <c r="BI13" s="28">
        <f t="shared" si="24"/>
        <v>0.46604429230849026</v>
      </c>
      <c r="BJ13" s="3"/>
      <c r="BK13" s="37">
        <f t="shared" si="25"/>
        <v>8.183788706739525</v>
      </c>
      <c r="BL13" s="28">
        <f t="shared" si="26"/>
        <v>5.819818652849741</v>
      </c>
      <c r="BM13" s="28">
        <f t="shared" si="27"/>
        <v>4.851943844492441</v>
      </c>
      <c r="BN13" s="28">
        <f t="shared" si="28"/>
        <v>4.463884749130651</v>
      </c>
      <c r="BO13" s="28">
        <f t="shared" si="29"/>
        <v>4.150484988452656</v>
      </c>
      <c r="BP13" s="148"/>
      <c r="BQ13" s="28">
        <f t="shared" si="30"/>
        <v>13.845608628659475</v>
      </c>
      <c r="BR13" s="28">
        <f t="shared" si="31"/>
        <v>9.331048805815161</v>
      </c>
      <c r="BS13" s="28">
        <f t="shared" si="32"/>
        <v>7.766464995678478</v>
      </c>
      <c r="BT13" s="28">
        <f t="shared" si="33"/>
        <v>7.177156549520766</v>
      </c>
      <c r="BU13" s="28">
        <f t="shared" si="34"/>
        <v>6.6808921933085506</v>
      </c>
      <c r="BV13" s="3"/>
      <c r="BW13" s="37">
        <f t="shared" si="36"/>
        <v>26.12021857923497</v>
      </c>
      <c r="BX13" s="28">
        <f t="shared" si="37"/>
        <v>12.780748663101603</v>
      </c>
      <c r="BY13" s="28">
        <f t="shared" si="38"/>
        <v>10.598669623059866</v>
      </c>
      <c r="BZ13" s="28">
        <f t="shared" si="39"/>
        <v>9.263565891472867</v>
      </c>
      <c r="CA13" s="28">
        <f t="shared" si="40"/>
        <v>7.861842105263156</v>
      </c>
      <c r="CB13" s="148"/>
      <c r="CC13" s="38">
        <f t="shared" si="41"/>
        <v>0.15450266007027325</v>
      </c>
      <c r="CD13" s="39">
        <f t="shared" si="42"/>
        <v>1.6905999267167682</v>
      </c>
      <c r="CE13" s="148"/>
    </row>
    <row r="14" spans="1:83" s="42" customFormat="1" ht="18">
      <c r="A14" s="146"/>
      <c r="B14" s="1" t="s">
        <v>9</v>
      </c>
      <c r="C14" s="26">
        <f>+'PG-Ermittlung Market Cap &amp; EV'!K14</f>
        <v>46.6</v>
      </c>
      <c r="D14" s="49">
        <f>+'PG-Ermittlung Market Cap &amp; EV'!L14</f>
        <v>1126.2</v>
      </c>
      <c r="E14" s="49">
        <f>+'PG-Ermittlung Market Cap &amp; EV'!M14</f>
        <v>2978.000000000001</v>
      </c>
      <c r="F14" s="4" t="s">
        <v>54</v>
      </c>
      <c r="G14" s="5">
        <v>37256</v>
      </c>
      <c r="H14" s="257">
        <f t="shared" si="0"/>
        <v>12</v>
      </c>
      <c r="I14" s="6">
        <v>4261.9</v>
      </c>
      <c r="J14" s="6">
        <v>5839.6</v>
      </c>
      <c r="K14" s="6">
        <v>9610.7</v>
      </c>
      <c r="L14" s="9">
        <v>9700</v>
      </c>
      <c r="M14" s="9">
        <v>10190.3</v>
      </c>
      <c r="N14" s="6"/>
      <c r="O14" s="17">
        <v>349.2</v>
      </c>
      <c r="P14" s="6">
        <v>379.5</v>
      </c>
      <c r="Q14" s="6">
        <v>551.8</v>
      </c>
      <c r="R14" s="9">
        <v>563.2</v>
      </c>
      <c r="S14" s="9">
        <v>635</v>
      </c>
      <c r="T14" s="262"/>
      <c r="U14" s="6">
        <v>155.3</v>
      </c>
      <c r="V14" s="6">
        <v>127.1</v>
      </c>
      <c r="W14" s="6">
        <v>166.6</v>
      </c>
      <c r="X14" s="9">
        <v>228.7</v>
      </c>
      <c r="Y14" s="9">
        <v>310</v>
      </c>
      <c r="Z14" s="6"/>
      <c r="AA14" s="18">
        <v>3.99</v>
      </c>
      <c r="AB14" s="2">
        <v>-2.74</v>
      </c>
      <c r="AC14" s="2">
        <v>-2.85</v>
      </c>
      <c r="AD14" s="12">
        <v>3.74</v>
      </c>
      <c r="AE14" s="12">
        <v>5.59</v>
      </c>
      <c r="AF14" s="263"/>
      <c r="AG14" s="25">
        <f t="shared" si="1"/>
        <v>4261.9</v>
      </c>
      <c r="AH14" s="25">
        <f t="shared" si="2"/>
        <v>5839.600000000001</v>
      </c>
      <c r="AI14" s="25">
        <f t="shared" si="3"/>
        <v>9610.7</v>
      </c>
      <c r="AJ14" s="25">
        <f t="shared" si="4"/>
        <v>9700</v>
      </c>
      <c r="AK14" s="25">
        <f t="shared" si="5"/>
        <v>10190.3</v>
      </c>
      <c r="AL14" s="3"/>
      <c r="AM14" s="31">
        <f t="shared" si="6"/>
        <v>349.2</v>
      </c>
      <c r="AN14" s="25">
        <f t="shared" si="7"/>
        <v>379.5</v>
      </c>
      <c r="AO14" s="25">
        <f t="shared" si="8"/>
        <v>551.8</v>
      </c>
      <c r="AP14" s="25">
        <f t="shared" si="9"/>
        <v>563.2</v>
      </c>
      <c r="AQ14" s="25">
        <f t="shared" si="10"/>
        <v>635</v>
      </c>
      <c r="AR14" s="148"/>
      <c r="AS14" s="25">
        <f t="shared" si="11"/>
        <v>155.3</v>
      </c>
      <c r="AT14" s="25">
        <f t="shared" si="12"/>
        <v>127.09999999999998</v>
      </c>
      <c r="AU14" s="25">
        <f t="shared" si="13"/>
        <v>166.6</v>
      </c>
      <c r="AV14" s="25">
        <f t="shared" si="14"/>
        <v>228.69999999999996</v>
      </c>
      <c r="AW14" s="25">
        <f t="shared" si="15"/>
        <v>310</v>
      </c>
      <c r="AX14" s="3"/>
      <c r="AY14" s="32">
        <f t="shared" si="16"/>
        <v>3.99</v>
      </c>
      <c r="AZ14" s="26">
        <f t="shared" si="17"/>
        <v>-2.74</v>
      </c>
      <c r="BA14" s="26">
        <f t="shared" si="18"/>
        <v>-2.85</v>
      </c>
      <c r="BB14" s="26">
        <f t="shared" si="19"/>
        <v>3.74</v>
      </c>
      <c r="BC14" s="26">
        <f t="shared" si="20"/>
        <v>5.59</v>
      </c>
      <c r="BD14" s="148"/>
      <c r="BE14" s="28">
        <f t="shared" si="35"/>
        <v>0.6987493840775244</v>
      </c>
      <c r="BF14" s="28">
        <f t="shared" si="21"/>
        <v>0.5099664360572642</v>
      </c>
      <c r="BG14" s="28">
        <f t="shared" si="22"/>
        <v>0.30986296523666335</v>
      </c>
      <c r="BH14" s="28">
        <f t="shared" si="23"/>
        <v>0.3070103092783506</v>
      </c>
      <c r="BI14" s="28">
        <f t="shared" si="24"/>
        <v>0.29223869758495835</v>
      </c>
      <c r="BJ14" s="3"/>
      <c r="BK14" s="37">
        <f t="shared" si="25"/>
        <v>8.528064146620851</v>
      </c>
      <c r="BL14" s="28">
        <f t="shared" si="26"/>
        <v>7.847167325428197</v>
      </c>
      <c r="BM14" s="28">
        <f t="shared" si="27"/>
        <v>5.39688292859732</v>
      </c>
      <c r="BN14" s="28">
        <f t="shared" si="28"/>
        <v>5.287642045454547</v>
      </c>
      <c r="BO14" s="28">
        <f t="shared" si="29"/>
        <v>4.689763779527561</v>
      </c>
      <c r="BP14" s="148"/>
      <c r="BQ14" s="28">
        <f t="shared" si="30"/>
        <v>19.175788795878947</v>
      </c>
      <c r="BR14" s="28">
        <f t="shared" si="31"/>
        <v>23.430369787568853</v>
      </c>
      <c r="BS14" s="28">
        <f t="shared" si="32"/>
        <v>17.875150060024016</v>
      </c>
      <c r="BT14" s="28">
        <f t="shared" si="33"/>
        <v>13.021425448185402</v>
      </c>
      <c r="BU14" s="28">
        <f t="shared" si="34"/>
        <v>9.606451612903228</v>
      </c>
      <c r="BV14" s="3"/>
      <c r="BW14" s="37">
        <f t="shared" si="36"/>
        <v>11.679197994987469</v>
      </c>
      <c r="BX14" s="28">
        <f t="shared" si="37"/>
        <v>-17.00729927007299</v>
      </c>
      <c r="BY14" s="28">
        <f t="shared" si="38"/>
        <v>-16.350877192982455</v>
      </c>
      <c r="BZ14" s="28">
        <f t="shared" si="39"/>
        <v>12.459893048128341</v>
      </c>
      <c r="CA14" s="28">
        <f t="shared" si="40"/>
        <v>8.336314847942756</v>
      </c>
      <c r="CB14" s="148"/>
      <c r="CC14" s="38">
        <f t="shared" si="41"/>
        <v>0.2435003979653636</v>
      </c>
      <c r="CD14" s="39">
        <f t="shared" si="42"/>
        <v>0.47963773745654253</v>
      </c>
      <c r="CE14" s="148"/>
    </row>
    <row r="15" spans="1:83" s="42" customFormat="1" ht="18">
      <c r="A15" s="146"/>
      <c r="B15" s="1" t="s">
        <v>8</v>
      </c>
      <c r="C15" s="26">
        <f>+'PG-Ermittlung Market Cap &amp; EV'!K15</f>
        <v>14.11</v>
      </c>
      <c r="D15" s="49">
        <f>+'PG-Ermittlung Market Cap &amp; EV'!L15</f>
        <v>148.1</v>
      </c>
      <c r="E15" s="49">
        <f>+'PG-Ermittlung Market Cap &amp; EV'!M15</f>
        <v>306.5999999999999</v>
      </c>
      <c r="F15" s="4" t="s">
        <v>54</v>
      </c>
      <c r="G15" s="5">
        <v>37256</v>
      </c>
      <c r="H15" s="257">
        <f t="shared" si="0"/>
        <v>12</v>
      </c>
      <c r="I15" s="6">
        <v>563.8</v>
      </c>
      <c r="J15" s="6">
        <v>670.6</v>
      </c>
      <c r="K15" s="6">
        <v>720.9</v>
      </c>
      <c r="L15" s="9" t="s">
        <v>50</v>
      </c>
      <c r="M15" s="9" t="s">
        <v>50</v>
      </c>
      <c r="N15" s="6"/>
      <c r="O15" s="17">
        <v>24.2</v>
      </c>
      <c r="P15" s="6">
        <v>56.4</v>
      </c>
      <c r="Q15" s="6">
        <v>73.2</v>
      </c>
      <c r="R15" s="9" t="s">
        <v>50</v>
      </c>
      <c r="S15" s="9" t="s">
        <v>50</v>
      </c>
      <c r="T15" s="262"/>
      <c r="U15" s="6">
        <v>-3.3</v>
      </c>
      <c r="V15" s="6">
        <v>25.9</v>
      </c>
      <c r="W15" s="6">
        <v>42.4</v>
      </c>
      <c r="X15" s="9" t="s">
        <v>50</v>
      </c>
      <c r="Y15" s="9" t="s">
        <v>50</v>
      </c>
      <c r="Z15" s="6"/>
      <c r="AA15" s="18">
        <v>-4.45</v>
      </c>
      <c r="AB15" s="2">
        <v>1.25</v>
      </c>
      <c r="AC15" s="2">
        <v>2.24</v>
      </c>
      <c r="AD15" s="12" t="s">
        <v>50</v>
      </c>
      <c r="AE15" s="12" t="s">
        <v>50</v>
      </c>
      <c r="AF15" s="263"/>
      <c r="AG15" s="25">
        <f t="shared" si="1"/>
        <v>563.8</v>
      </c>
      <c r="AH15" s="25">
        <f t="shared" si="2"/>
        <v>670.6</v>
      </c>
      <c r="AI15" s="25">
        <f t="shared" si="3"/>
        <v>720.9</v>
      </c>
      <c r="AJ15" s="25" t="str">
        <f t="shared" si="4"/>
        <v>n/a</v>
      </c>
      <c r="AK15" s="25" t="str">
        <f t="shared" si="5"/>
        <v>n/a</v>
      </c>
      <c r="AL15" s="3"/>
      <c r="AM15" s="31">
        <f t="shared" si="6"/>
        <v>24.2</v>
      </c>
      <c r="AN15" s="25">
        <f t="shared" si="7"/>
        <v>56.4</v>
      </c>
      <c r="AO15" s="25">
        <f t="shared" si="8"/>
        <v>73.2</v>
      </c>
      <c r="AP15" s="25" t="str">
        <f t="shared" si="9"/>
        <v>n/a</v>
      </c>
      <c r="AQ15" s="25" t="str">
        <f t="shared" si="10"/>
        <v>n/a</v>
      </c>
      <c r="AR15" s="148"/>
      <c r="AS15" s="25">
        <f t="shared" si="11"/>
        <v>-3.2999999999999994</v>
      </c>
      <c r="AT15" s="25">
        <f t="shared" si="12"/>
        <v>25.899999999999995</v>
      </c>
      <c r="AU15" s="25">
        <f t="shared" si="13"/>
        <v>42.4</v>
      </c>
      <c r="AV15" s="25" t="str">
        <f t="shared" si="14"/>
        <v>n/a</v>
      </c>
      <c r="AW15" s="25" t="str">
        <f t="shared" si="15"/>
        <v>n/a</v>
      </c>
      <c r="AX15" s="3"/>
      <c r="AY15" s="32">
        <f t="shared" si="16"/>
        <v>-4.45</v>
      </c>
      <c r="AZ15" s="26">
        <f t="shared" si="17"/>
        <v>1.25</v>
      </c>
      <c r="BA15" s="26">
        <f t="shared" si="18"/>
        <v>2.24</v>
      </c>
      <c r="BB15" s="26" t="str">
        <f t="shared" si="19"/>
        <v>n/a</v>
      </c>
      <c r="BC15" s="26" t="str">
        <f t="shared" si="20"/>
        <v>n/a</v>
      </c>
      <c r="BD15" s="148"/>
      <c r="BE15" s="28">
        <f t="shared" si="35"/>
        <v>0.5438098616530683</v>
      </c>
      <c r="BF15" s="28">
        <f t="shared" si="21"/>
        <v>0.4572025052192065</v>
      </c>
      <c r="BG15" s="28">
        <f t="shared" si="22"/>
        <v>0.4253017062005825</v>
      </c>
      <c r="BH15" s="28" t="str">
        <f t="shared" si="23"/>
        <v>n/a</v>
      </c>
      <c r="BI15" s="28" t="str">
        <f t="shared" si="24"/>
        <v>n/a</v>
      </c>
      <c r="BJ15" s="3"/>
      <c r="BK15" s="37">
        <f t="shared" si="25"/>
        <v>12.669421487603302</v>
      </c>
      <c r="BL15" s="28">
        <f t="shared" si="26"/>
        <v>5.436170212765956</v>
      </c>
      <c r="BM15" s="28">
        <f t="shared" si="27"/>
        <v>4.188524590163933</v>
      </c>
      <c r="BN15" s="28" t="str">
        <f t="shared" si="28"/>
        <v>n/a</v>
      </c>
      <c r="BO15" s="28" t="str">
        <f t="shared" si="29"/>
        <v>n/a</v>
      </c>
      <c r="BP15" s="148"/>
      <c r="BQ15" s="28">
        <f t="shared" si="30"/>
        <v>-92.90909090909089</v>
      </c>
      <c r="BR15" s="28">
        <f t="shared" si="31"/>
        <v>11.837837837837837</v>
      </c>
      <c r="BS15" s="28">
        <f t="shared" si="32"/>
        <v>7.231132075471696</v>
      </c>
      <c r="BT15" s="28" t="str">
        <f t="shared" si="33"/>
        <v>n/a</v>
      </c>
      <c r="BU15" s="28" t="str">
        <f t="shared" si="34"/>
        <v>n/a</v>
      </c>
      <c r="BV15" s="3"/>
      <c r="BW15" s="37">
        <f t="shared" si="36"/>
        <v>-3.170786516853932</v>
      </c>
      <c r="BX15" s="28">
        <f t="shared" si="37"/>
        <v>11.288</v>
      </c>
      <c r="BY15" s="28">
        <f t="shared" si="38"/>
        <v>6.299107142857142</v>
      </c>
      <c r="BZ15" s="28" t="str">
        <f t="shared" si="39"/>
        <v>n/a</v>
      </c>
      <c r="CA15" s="28" t="str">
        <f t="shared" si="40"/>
        <v>n/a</v>
      </c>
      <c r="CB15" s="148"/>
      <c r="CC15" s="38" t="str">
        <f t="shared" si="41"/>
        <v>n/a</v>
      </c>
      <c r="CD15" s="39" t="str">
        <f t="shared" si="42"/>
        <v>n/a</v>
      </c>
      <c r="CE15" s="148"/>
    </row>
    <row r="16" spans="1:83" s="42" customFormat="1" ht="18">
      <c r="A16" s="146"/>
      <c r="B16" s="1" t="s">
        <v>7</v>
      </c>
      <c r="C16" s="26">
        <f>+'PG-Ermittlung Market Cap &amp; EV'!K16</f>
        <v>9.22</v>
      </c>
      <c r="D16" s="49">
        <f>+'PG-Ermittlung Market Cap &amp; EV'!L16</f>
        <v>258.2</v>
      </c>
      <c r="E16" s="49">
        <f>+'PG-Ermittlung Market Cap &amp; EV'!M16</f>
        <v>773.6999999999999</v>
      </c>
      <c r="F16" s="4" t="s">
        <v>54</v>
      </c>
      <c r="G16" s="5">
        <v>37256</v>
      </c>
      <c r="H16" s="257">
        <f t="shared" si="0"/>
        <v>12</v>
      </c>
      <c r="I16" s="6">
        <v>1527.1</v>
      </c>
      <c r="J16" s="6">
        <v>1776.2</v>
      </c>
      <c r="K16" s="6">
        <v>1825.5</v>
      </c>
      <c r="L16" s="9">
        <v>1837.5</v>
      </c>
      <c r="M16" s="9">
        <v>1950</v>
      </c>
      <c r="N16" s="6"/>
      <c r="O16" s="17">
        <v>178.2</v>
      </c>
      <c r="P16" s="6">
        <v>186.2</v>
      </c>
      <c r="Q16" s="6">
        <v>232.3</v>
      </c>
      <c r="R16" s="9">
        <v>229.8</v>
      </c>
      <c r="S16" s="9">
        <v>240</v>
      </c>
      <c r="T16" s="262"/>
      <c r="U16" s="6">
        <v>63</v>
      </c>
      <c r="V16" s="6">
        <v>56.7</v>
      </c>
      <c r="W16" s="6">
        <v>84.4</v>
      </c>
      <c r="X16" s="9">
        <v>64.7</v>
      </c>
      <c r="Y16" s="9">
        <v>77.8</v>
      </c>
      <c r="Z16" s="6"/>
      <c r="AA16" s="18">
        <v>0.99</v>
      </c>
      <c r="AB16" s="2">
        <v>1.61</v>
      </c>
      <c r="AC16" s="2">
        <v>1.18</v>
      </c>
      <c r="AD16" s="12">
        <v>1.1</v>
      </c>
      <c r="AE16" s="12">
        <v>1.32</v>
      </c>
      <c r="AF16" s="263"/>
      <c r="AG16" s="25">
        <f t="shared" si="1"/>
        <v>1527.0999999999997</v>
      </c>
      <c r="AH16" s="25">
        <f t="shared" si="2"/>
        <v>1776.2</v>
      </c>
      <c r="AI16" s="25">
        <f t="shared" si="3"/>
        <v>1825.5</v>
      </c>
      <c r="AJ16" s="25">
        <f t="shared" si="4"/>
        <v>1837.5</v>
      </c>
      <c r="AK16" s="25">
        <f t="shared" si="5"/>
        <v>1950</v>
      </c>
      <c r="AL16" s="3"/>
      <c r="AM16" s="31">
        <f t="shared" si="6"/>
        <v>178.19999999999996</v>
      </c>
      <c r="AN16" s="25">
        <f t="shared" si="7"/>
        <v>186.19999999999996</v>
      </c>
      <c r="AO16" s="25">
        <f t="shared" si="8"/>
        <v>232.30000000000004</v>
      </c>
      <c r="AP16" s="25">
        <f t="shared" si="9"/>
        <v>229.80000000000004</v>
      </c>
      <c r="AQ16" s="25">
        <f t="shared" si="10"/>
        <v>240</v>
      </c>
      <c r="AR16" s="148"/>
      <c r="AS16" s="25">
        <f t="shared" si="11"/>
        <v>63</v>
      </c>
      <c r="AT16" s="25">
        <f t="shared" si="12"/>
        <v>56.70000000000001</v>
      </c>
      <c r="AU16" s="25">
        <f t="shared" si="13"/>
        <v>84.4</v>
      </c>
      <c r="AV16" s="25">
        <f t="shared" si="14"/>
        <v>64.7</v>
      </c>
      <c r="AW16" s="25">
        <f t="shared" si="15"/>
        <v>77.8</v>
      </c>
      <c r="AX16" s="3"/>
      <c r="AY16" s="32">
        <f t="shared" si="16"/>
        <v>0.9899999999999999</v>
      </c>
      <c r="AZ16" s="26">
        <f t="shared" si="17"/>
        <v>1.61</v>
      </c>
      <c r="BA16" s="26">
        <f t="shared" si="18"/>
        <v>1.18</v>
      </c>
      <c r="BB16" s="26">
        <f t="shared" si="19"/>
        <v>1.1</v>
      </c>
      <c r="BC16" s="26">
        <f t="shared" si="20"/>
        <v>1.32</v>
      </c>
      <c r="BD16" s="148"/>
      <c r="BE16" s="28">
        <f t="shared" si="35"/>
        <v>0.5066465850304499</v>
      </c>
      <c r="BF16" s="28">
        <f t="shared" si="21"/>
        <v>0.43559283864429676</v>
      </c>
      <c r="BG16" s="28">
        <f t="shared" si="22"/>
        <v>0.42382908792111745</v>
      </c>
      <c r="BH16" s="28">
        <f t="shared" si="23"/>
        <v>0.4210612244897959</v>
      </c>
      <c r="BI16" s="28">
        <f t="shared" si="24"/>
        <v>0.3967692307692307</v>
      </c>
      <c r="BJ16" s="3"/>
      <c r="BK16" s="37">
        <f t="shared" si="25"/>
        <v>4.341750841750843</v>
      </c>
      <c r="BL16" s="28">
        <f t="shared" si="26"/>
        <v>4.155209452201934</v>
      </c>
      <c r="BM16" s="28">
        <f t="shared" si="27"/>
        <v>3.3306069737408515</v>
      </c>
      <c r="BN16" s="28">
        <f t="shared" si="28"/>
        <v>3.366840731070495</v>
      </c>
      <c r="BO16" s="28">
        <f t="shared" si="29"/>
        <v>3.22375</v>
      </c>
      <c r="BP16" s="148"/>
      <c r="BQ16" s="28">
        <f t="shared" si="30"/>
        <v>12.28095238095238</v>
      </c>
      <c r="BR16" s="28">
        <f t="shared" si="31"/>
        <v>13.645502645502642</v>
      </c>
      <c r="BS16" s="28">
        <f t="shared" si="32"/>
        <v>9.167061611374406</v>
      </c>
      <c r="BT16" s="28">
        <f t="shared" si="33"/>
        <v>11.958268933539411</v>
      </c>
      <c r="BU16" s="28">
        <f t="shared" si="34"/>
        <v>9.944730077120822</v>
      </c>
      <c r="BV16" s="3"/>
      <c r="BW16" s="37">
        <f t="shared" si="36"/>
        <v>9.313131313131315</v>
      </c>
      <c r="BX16" s="28">
        <f t="shared" si="37"/>
        <v>5.726708074534161</v>
      </c>
      <c r="BY16" s="28">
        <f t="shared" si="38"/>
        <v>7.8135593220339</v>
      </c>
      <c r="BZ16" s="28">
        <f t="shared" si="39"/>
        <v>8.381818181818181</v>
      </c>
      <c r="CA16" s="28">
        <f t="shared" si="40"/>
        <v>6.984848484848485</v>
      </c>
      <c r="CB16" s="148"/>
      <c r="CC16" s="38">
        <f t="shared" si="41"/>
        <v>0.06302085178912553</v>
      </c>
      <c r="CD16" s="39">
        <f t="shared" si="42"/>
        <v>1.4777856929471602</v>
      </c>
      <c r="CE16" s="148"/>
    </row>
    <row r="17" spans="1:83" s="42" customFormat="1" ht="18">
      <c r="A17" s="146"/>
      <c r="B17" s="1" t="s">
        <v>6</v>
      </c>
      <c r="C17" s="26">
        <f>+'PG-Ermittlung Market Cap &amp; EV'!K17</f>
        <v>47.05</v>
      </c>
      <c r="D17" s="49">
        <f>+'PG-Ermittlung Market Cap &amp; EV'!L17</f>
        <v>3091.2</v>
      </c>
      <c r="E17" s="49">
        <f>+'PG-Ermittlung Market Cap &amp; EV'!M17</f>
        <v>5276.2</v>
      </c>
      <c r="F17" s="4" t="s">
        <v>53</v>
      </c>
      <c r="G17" s="5">
        <v>37256</v>
      </c>
      <c r="H17" s="257">
        <f t="shared" si="0"/>
        <v>12</v>
      </c>
      <c r="I17" s="6">
        <v>12428.8</v>
      </c>
      <c r="J17" s="6">
        <v>14072.8</v>
      </c>
      <c r="K17" s="6">
        <v>13624.7</v>
      </c>
      <c r="L17" s="9">
        <v>14065.2</v>
      </c>
      <c r="M17" s="9">
        <v>14668</v>
      </c>
      <c r="N17" s="6"/>
      <c r="O17" s="17">
        <v>1049.8</v>
      </c>
      <c r="P17" s="6">
        <v>1227.6</v>
      </c>
      <c r="Q17" s="6">
        <v>822.6</v>
      </c>
      <c r="R17" s="9">
        <v>1067.8</v>
      </c>
      <c r="S17" s="9">
        <v>1192.6</v>
      </c>
      <c r="T17" s="262"/>
      <c r="U17" s="6">
        <v>708.9</v>
      </c>
      <c r="V17" s="6">
        <v>835.4</v>
      </c>
      <c r="W17" s="6">
        <v>430.4</v>
      </c>
      <c r="X17" s="9">
        <v>727.1</v>
      </c>
      <c r="Y17" s="9">
        <v>801.8</v>
      </c>
      <c r="Z17" s="6"/>
      <c r="AA17" s="18">
        <v>3.8</v>
      </c>
      <c r="AB17" s="2">
        <v>4.17</v>
      </c>
      <c r="AC17" s="2">
        <v>0.4</v>
      </c>
      <c r="AD17" s="12">
        <v>4.4</v>
      </c>
      <c r="AE17" s="12">
        <v>5.16</v>
      </c>
      <c r="AF17" s="263"/>
      <c r="AG17" s="25">
        <f t="shared" si="1"/>
        <v>12428.799999999997</v>
      </c>
      <c r="AH17" s="25">
        <f t="shared" si="2"/>
        <v>14072.799999999997</v>
      </c>
      <c r="AI17" s="25">
        <f t="shared" si="3"/>
        <v>13624.700000000003</v>
      </c>
      <c r="AJ17" s="25">
        <f t="shared" si="4"/>
        <v>14065.200000000003</v>
      </c>
      <c r="AK17" s="25">
        <f t="shared" si="5"/>
        <v>14668</v>
      </c>
      <c r="AL17" s="3"/>
      <c r="AM17" s="31">
        <f t="shared" si="6"/>
        <v>1049.8</v>
      </c>
      <c r="AN17" s="25">
        <f t="shared" si="7"/>
        <v>1227.6</v>
      </c>
      <c r="AO17" s="25">
        <f t="shared" si="8"/>
        <v>822.6</v>
      </c>
      <c r="AP17" s="25">
        <f t="shared" si="9"/>
        <v>1067.8</v>
      </c>
      <c r="AQ17" s="25">
        <f t="shared" si="10"/>
        <v>1192.6</v>
      </c>
      <c r="AR17" s="148"/>
      <c r="AS17" s="25">
        <f t="shared" si="11"/>
        <v>708.9</v>
      </c>
      <c r="AT17" s="25">
        <f t="shared" si="12"/>
        <v>835.4</v>
      </c>
      <c r="AU17" s="25">
        <f t="shared" si="13"/>
        <v>430.3999999999999</v>
      </c>
      <c r="AV17" s="25">
        <f t="shared" si="14"/>
        <v>727.1</v>
      </c>
      <c r="AW17" s="25">
        <f t="shared" si="15"/>
        <v>801.7999999999998</v>
      </c>
      <c r="AX17" s="3"/>
      <c r="AY17" s="32">
        <f t="shared" si="16"/>
        <v>3.7999999999999994</v>
      </c>
      <c r="AZ17" s="26">
        <f t="shared" si="17"/>
        <v>4.17</v>
      </c>
      <c r="BA17" s="26">
        <f t="shared" si="18"/>
        <v>0.4000000000000001</v>
      </c>
      <c r="BB17" s="26">
        <f t="shared" si="19"/>
        <v>4.4</v>
      </c>
      <c r="BC17" s="26">
        <f t="shared" si="20"/>
        <v>5.16</v>
      </c>
      <c r="BD17" s="148"/>
      <c r="BE17" s="28">
        <f t="shared" si="35"/>
        <v>0.4245140319258497</v>
      </c>
      <c r="BF17" s="28">
        <f t="shared" si="21"/>
        <v>0.3749218350292764</v>
      </c>
      <c r="BG17" s="28">
        <f t="shared" si="22"/>
        <v>0.38725256335919317</v>
      </c>
      <c r="BH17" s="28">
        <f t="shared" si="23"/>
        <v>0.37512442055569767</v>
      </c>
      <c r="BI17" s="28">
        <f t="shared" si="24"/>
        <v>0.3597082083446959</v>
      </c>
      <c r="BJ17" s="3"/>
      <c r="BK17" s="37">
        <f t="shared" si="25"/>
        <v>5.025909697085159</v>
      </c>
      <c r="BL17" s="28">
        <f t="shared" si="26"/>
        <v>4.2979797979797985</v>
      </c>
      <c r="BM17" s="28">
        <f t="shared" si="27"/>
        <v>6.4140530026744464</v>
      </c>
      <c r="BN17" s="28">
        <f t="shared" si="28"/>
        <v>4.941187488293688</v>
      </c>
      <c r="BO17" s="28">
        <f t="shared" si="29"/>
        <v>4.424115378165353</v>
      </c>
      <c r="BP17" s="148"/>
      <c r="BQ17" s="28">
        <f t="shared" si="30"/>
        <v>7.442798702214699</v>
      </c>
      <c r="BR17" s="28">
        <f t="shared" si="31"/>
        <v>6.315776873354082</v>
      </c>
      <c r="BS17" s="28">
        <f t="shared" si="32"/>
        <v>12.25882899628253</v>
      </c>
      <c r="BT17" s="28">
        <f t="shared" si="33"/>
        <v>7.256498418374363</v>
      </c>
      <c r="BU17" s="28">
        <f t="shared" si="34"/>
        <v>6.5804440009977565</v>
      </c>
      <c r="BV17" s="3"/>
      <c r="BW17" s="37">
        <f t="shared" si="36"/>
        <v>12.381578947368423</v>
      </c>
      <c r="BX17" s="28">
        <f t="shared" si="37"/>
        <v>11.282973621103118</v>
      </c>
      <c r="BY17" s="28">
        <f t="shared" si="38"/>
        <v>117.62499999999997</v>
      </c>
      <c r="BZ17" s="28">
        <f t="shared" si="39"/>
        <v>10.693181818181817</v>
      </c>
      <c r="CA17" s="28">
        <f t="shared" si="40"/>
        <v>9.118217054263566</v>
      </c>
      <c r="CB17" s="148"/>
      <c r="CC17" s="38">
        <f t="shared" si="41"/>
        <v>0.04228245066168013</v>
      </c>
      <c r="CD17" s="39">
        <f t="shared" si="42"/>
        <v>2.928302109647973</v>
      </c>
      <c r="CE17" s="148"/>
    </row>
    <row r="18" spans="1:83" s="42" customFormat="1" ht="18">
      <c r="A18" s="146"/>
      <c r="B18" s="1" t="s">
        <v>5</v>
      </c>
      <c r="C18" s="26">
        <f>+'PG-Ermittlung Market Cap &amp; EV'!K18</f>
        <v>97.2</v>
      </c>
      <c r="D18" s="49">
        <f>+'PG-Ermittlung Market Cap &amp; EV'!L18</f>
        <v>8783.6</v>
      </c>
      <c r="E18" s="49">
        <f>+'PG-Ermittlung Market Cap &amp; EV'!M18</f>
        <v>9125.6</v>
      </c>
      <c r="F18" s="4" t="s">
        <v>108</v>
      </c>
      <c r="G18" s="5">
        <v>37256</v>
      </c>
      <c r="H18" s="257">
        <f t="shared" si="0"/>
        <v>12</v>
      </c>
      <c r="I18" s="3">
        <v>14030.68</v>
      </c>
      <c r="J18" s="3">
        <v>15613.91</v>
      </c>
      <c r="K18" s="3">
        <v>17074.86</v>
      </c>
      <c r="L18" s="9">
        <v>19213</v>
      </c>
      <c r="M18" s="9">
        <v>21721.3</v>
      </c>
      <c r="N18" s="6"/>
      <c r="O18" s="17">
        <v>1494.1</v>
      </c>
      <c r="P18" s="6">
        <v>1755.5</v>
      </c>
      <c r="Q18" s="6">
        <v>1946.6</v>
      </c>
      <c r="R18" s="9">
        <v>2067.1</v>
      </c>
      <c r="S18" s="9">
        <v>2397.2</v>
      </c>
      <c r="T18" s="262"/>
      <c r="U18" s="3">
        <v>989.14</v>
      </c>
      <c r="V18" s="3">
        <v>1203.01</v>
      </c>
      <c r="W18" s="3">
        <v>1328.7</v>
      </c>
      <c r="X18" s="9">
        <v>1435.5</v>
      </c>
      <c r="Y18" s="9">
        <v>1648</v>
      </c>
      <c r="Z18" s="6"/>
      <c r="AA18" s="18">
        <v>6.88</v>
      </c>
      <c r="AB18" s="2">
        <v>9.56</v>
      </c>
      <c r="AC18" s="2">
        <v>9.6</v>
      </c>
      <c r="AD18" s="12">
        <v>9.54</v>
      </c>
      <c r="AE18" s="12">
        <v>10.82</v>
      </c>
      <c r="AF18" s="263"/>
      <c r="AG18" s="25">
        <f t="shared" si="1"/>
        <v>14030.68</v>
      </c>
      <c r="AH18" s="25">
        <f t="shared" si="2"/>
        <v>15613.909999999998</v>
      </c>
      <c r="AI18" s="25">
        <f t="shared" si="3"/>
        <v>17074.86</v>
      </c>
      <c r="AJ18" s="25">
        <f t="shared" si="4"/>
        <v>19213</v>
      </c>
      <c r="AK18" s="25">
        <f t="shared" si="5"/>
        <v>21721.3</v>
      </c>
      <c r="AL18" s="3"/>
      <c r="AM18" s="31">
        <f t="shared" si="6"/>
        <v>1494.0999999999997</v>
      </c>
      <c r="AN18" s="25">
        <f t="shared" si="7"/>
        <v>1755.5</v>
      </c>
      <c r="AO18" s="25">
        <f t="shared" si="8"/>
        <v>1946.5999999999997</v>
      </c>
      <c r="AP18" s="25">
        <f t="shared" si="9"/>
        <v>2067.1</v>
      </c>
      <c r="AQ18" s="25">
        <f t="shared" si="10"/>
        <v>2397.2</v>
      </c>
      <c r="AR18" s="148"/>
      <c r="AS18" s="25">
        <f t="shared" si="11"/>
        <v>989.14</v>
      </c>
      <c r="AT18" s="25">
        <f t="shared" si="12"/>
        <v>1203.01</v>
      </c>
      <c r="AU18" s="25">
        <f t="shared" si="13"/>
        <v>1328.7</v>
      </c>
      <c r="AV18" s="25">
        <f t="shared" si="14"/>
        <v>1435.5</v>
      </c>
      <c r="AW18" s="25">
        <f t="shared" si="15"/>
        <v>1648</v>
      </c>
      <c r="AX18" s="3"/>
      <c r="AY18" s="32">
        <f t="shared" si="16"/>
        <v>6.88</v>
      </c>
      <c r="AZ18" s="26">
        <f t="shared" si="17"/>
        <v>9.56</v>
      </c>
      <c r="BA18" s="26">
        <f t="shared" si="18"/>
        <v>9.6</v>
      </c>
      <c r="BB18" s="26">
        <f t="shared" si="19"/>
        <v>9.54</v>
      </c>
      <c r="BC18" s="26">
        <f t="shared" si="20"/>
        <v>10.82</v>
      </c>
      <c r="BD18" s="148"/>
      <c r="BE18" s="28">
        <f t="shared" si="35"/>
        <v>0.650403259143534</v>
      </c>
      <c r="BF18" s="28">
        <f t="shared" si="21"/>
        <v>0.5844532215185051</v>
      </c>
      <c r="BG18" s="28">
        <f t="shared" si="22"/>
        <v>0.53444654890289</v>
      </c>
      <c r="BH18" s="28">
        <f t="shared" si="23"/>
        <v>0.4749700723468485</v>
      </c>
      <c r="BI18" s="28">
        <f t="shared" si="24"/>
        <v>0.4201221842154936</v>
      </c>
      <c r="BJ18" s="3"/>
      <c r="BK18" s="37">
        <f t="shared" si="25"/>
        <v>6.10775717823439</v>
      </c>
      <c r="BL18" s="28">
        <f t="shared" si="26"/>
        <v>5.198291085160923</v>
      </c>
      <c r="BM18" s="28">
        <f t="shared" si="27"/>
        <v>4.687968766053633</v>
      </c>
      <c r="BN18" s="28">
        <f t="shared" si="28"/>
        <v>4.414687242997436</v>
      </c>
      <c r="BO18" s="28">
        <f t="shared" si="29"/>
        <v>3.8067745703320544</v>
      </c>
      <c r="BP18" s="148"/>
      <c r="BQ18" s="28">
        <f t="shared" si="30"/>
        <v>9.225792102230221</v>
      </c>
      <c r="BR18" s="28">
        <f t="shared" si="31"/>
        <v>7.585639354618832</v>
      </c>
      <c r="BS18" s="28">
        <f t="shared" si="32"/>
        <v>6.868066531195906</v>
      </c>
      <c r="BT18" s="28">
        <f t="shared" si="33"/>
        <v>6.357088122605364</v>
      </c>
      <c r="BU18" s="28">
        <f t="shared" si="34"/>
        <v>5.5373786407767</v>
      </c>
      <c r="BV18" s="3"/>
      <c r="BW18" s="37">
        <f t="shared" si="36"/>
        <v>14.127906976744187</v>
      </c>
      <c r="BX18" s="28">
        <f t="shared" si="37"/>
        <v>10.167364016736402</v>
      </c>
      <c r="BY18" s="28">
        <f t="shared" si="38"/>
        <v>10.125</v>
      </c>
      <c r="BZ18" s="28">
        <f t="shared" si="39"/>
        <v>10.18867924528302</v>
      </c>
      <c r="CA18" s="28">
        <f t="shared" si="40"/>
        <v>8.983364140480592</v>
      </c>
      <c r="CB18" s="148"/>
      <c r="CC18" s="38">
        <f t="shared" si="41"/>
        <v>0.11545427823010646</v>
      </c>
      <c r="CD18" s="39">
        <f t="shared" si="42"/>
        <v>1.2236798144964818</v>
      </c>
      <c r="CE18" s="148"/>
    </row>
    <row r="19" spans="1:83" s="42" customFormat="1" ht="18">
      <c r="A19" s="146"/>
      <c r="B19" s="1" t="s">
        <v>4</v>
      </c>
      <c r="C19" s="26">
        <f>+'PG-Ermittlung Market Cap &amp; EV'!K19</f>
        <v>38.6</v>
      </c>
      <c r="D19" s="49">
        <f>+'PG-Ermittlung Market Cap &amp; EV'!L19</f>
        <v>5249.9</v>
      </c>
      <c r="E19" s="49">
        <f>+'PG-Ermittlung Market Cap &amp; EV'!M19</f>
        <v>12758.819999999998</v>
      </c>
      <c r="F19" s="4" t="s">
        <v>54</v>
      </c>
      <c r="G19" s="5">
        <v>37256</v>
      </c>
      <c r="H19" s="257">
        <f t="shared" si="0"/>
        <v>12</v>
      </c>
      <c r="I19" s="6">
        <v>13763.1</v>
      </c>
      <c r="J19" s="6">
        <v>15395.6</v>
      </c>
      <c r="K19" s="6">
        <v>15774.6</v>
      </c>
      <c r="L19" s="9">
        <v>15903</v>
      </c>
      <c r="M19" s="9">
        <v>16403.6</v>
      </c>
      <c r="N19" s="6"/>
      <c r="O19" s="17">
        <v>2072.3</v>
      </c>
      <c r="P19" s="6">
        <v>2117.8</v>
      </c>
      <c r="Q19" s="6">
        <v>2004.3</v>
      </c>
      <c r="R19" s="9">
        <v>2085.8</v>
      </c>
      <c r="S19" s="9">
        <v>2319</v>
      </c>
      <c r="T19" s="262"/>
      <c r="U19" s="6">
        <v>1154.9</v>
      </c>
      <c r="V19" s="6">
        <v>1120.3</v>
      </c>
      <c r="W19" s="6">
        <v>1006.2</v>
      </c>
      <c r="X19" s="9">
        <v>1138.5</v>
      </c>
      <c r="Y19" s="9">
        <v>1307.5</v>
      </c>
      <c r="Z19" s="6"/>
      <c r="AA19" s="18">
        <v>1.16</v>
      </c>
      <c r="AB19" s="2">
        <v>3.04</v>
      </c>
      <c r="AC19" s="2">
        <v>2.26</v>
      </c>
      <c r="AD19" s="12">
        <v>3.38</v>
      </c>
      <c r="AE19" s="12">
        <v>4.12</v>
      </c>
      <c r="AF19" s="263"/>
      <c r="AG19" s="25">
        <f t="shared" si="1"/>
        <v>13763.1</v>
      </c>
      <c r="AH19" s="25">
        <f t="shared" si="2"/>
        <v>15395.6</v>
      </c>
      <c r="AI19" s="25">
        <f t="shared" si="3"/>
        <v>15774.6</v>
      </c>
      <c r="AJ19" s="25">
        <f t="shared" si="4"/>
        <v>15903</v>
      </c>
      <c r="AK19" s="25">
        <f t="shared" si="5"/>
        <v>16403.6</v>
      </c>
      <c r="AL19" s="3"/>
      <c r="AM19" s="31">
        <f t="shared" si="6"/>
        <v>2072.3</v>
      </c>
      <c r="AN19" s="25">
        <f t="shared" si="7"/>
        <v>2117.8</v>
      </c>
      <c r="AO19" s="25">
        <f t="shared" si="8"/>
        <v>2004.3</v>
      </c>
      <c r="AP19" s="25">
        <f t="shared" si="9"/>
        <v>2085.8</v>
      </c>
      <c r="AQ19" s="25">
        <f t="shared" si="10"/>
        <v>2319</v>
      </c>
      <c r="AR19" s="148"/>
      <c r="AS19" s="25">
        <f t="shared" si="11"/>
        <v>1154.9</v>
      </c>
      <c r="AT19" s="25">
        <f t="shared" si="12"/>
        <v>1120.3</v>
      </c>
      <c r="AU19" s="25">
        <f t="shared" si="13"/>
        <v>1006.2000000000002</v>
      </c>
      <c r="AV19" s="25">
        <f t="shared" si="14"/>
        <v>1138.5</v>
      </c>
      <c r="AW19" s="25">
        <f t="shared" si="15"/>
        <v>1307.5</v>
      </c>
      <c r="AX19" s="3"/>
      <c r="AY19" s="32">
        <f t="shared" si="16"/>
        <v>1.16</v>
      </c>
      <c r="AZ19" s="26">
        <f t="shared" si="17"/>
        <v>3.0400000000000005</v>
      </c>
      <c r="BA19" s="26">
        <f t="shared" si="18"/>
        <v>2.26</v>
      </c>
      <c r="BB19" s="26">
        <f t="shared" si="19"/>
        <v>3.3800000000000003</v>
      </c>
      <c r="BC19" s="26">
        <f t="shared" si="20"/>
        <v>4.12</v>
      </c>
      <c r="BD19" s="148"/>
      <c r="BE19" s="28">
        <f t="shared" si="35"/>
        <v>0.9270309741264684</v>
      </c>
      <c r="BF19" s="28">
        <f t="shared" si="21"/>
        <v>0.8287315856478473</v>
      </c>
      <c r="BG19" s="28">
        <f t="shared" si="22"/>
        <v>0.8088205089194019</v>
      </c>
      <c r="BH19" s="28">
        <f t="shared" si="23"/>
        <v>0.8022901339369929</v>
      </c>
      <c r="BI19" s="28">
        <f t="shared" si="24"/>
        <v>0.777806091345802</v>
      </c>
      <c r="BJ19" s="3"/>
      <c r="BK19" s="37">
        <f t="shared" si="25"/>
        <v>6.156840225836026</v>
      </c>
      <c r="BL19" s="28">
        <f t="shared" si="26"/>
        <v>6.024563225989232</v>
      </c>
      <c r="BM19" s="28">
        <f t="shared" si="27"/>
        <v>6.365723694057775</v>
      </c>
      <c r="BN19" s="28">
        <f t="shared" si="28"/>
        <v>6.11699108255825</v>
      </c>
      <c r="BO19" s="28">
        <f t="shared" si="29"/>
        <v>5.501862871927554</v>
      </c>
      <c r="BP19" s="148"/>
      <c r="BQ19" s="28">
        <f t="shared" si="30"/>
        <v>11.047553900770627</v>
      </c>
      <c r="BR19" s="28">
        <f t="shared" si="31"/>
        <v>11.388753012585912</v>
      </c>
      <c r="BS19" s="28">
        <f t="shared" si="32"/>
        <v>12.680202742993437</v>
      </c>
      <c r="BT19" s="28">
        <f t="shared" si="33"/>
        <v>11.206693017127797</v>
      </c>
      <c r="BU19" s="28">
        <f t="shared" si="34"/>
        <v>9.758179732313573</v>
      </c>
      <c r="BV19" s="3"/>
      <c r="BW19" s="37">
        <f t="shared" si="36"/>
        <v>33.27586206896552</v>
      </c>
      <c r="BX19" s="28">
        <f t="shared" si="37"/>
        <v>12.69736842105263</v>
      </c>
      <c r="BY19" s="28">
        <f t="shared" si="38"/>
        <v>17.07964601769912</v>
      </c>
      <c r="BZ19" s="28">
        <f t="shared" si="39"/>
        <v>11.420118343195266</v>
      </c>
      <c r="CA19" s="28">
        <f t="shared" si="40"/>
        <v>9.368932038834952</v>
      </c>
      <c r="CB19" s="148"/>
      <c r="CC19" s="38">
        <f t="shared" si="41"/>
        <v>0.04485428058456753</v>
      </c>
      <c r="CD19" s="39">
        <f t="shared" si="42"/>
        <v>7.418659185989563</v>
      </c>
      <c r="CE19" s="148"/>
    </row>
    <row r="20" spans="1:83" s="42" customFormat="1" ht="18">
      <c r="A20" s="146"/>
      <c r="B20" s="1" t="s">
        <v>3</v>
      </c>
      <c r="C20" s="26">
        <f>+'PG-Ermittlung Market Cap &amp; EV'!K20</f>
        <v>55.93</v>
      </c>
      <c r="D20" s="49">
        <f>+'PG-Ermittlung Market Cap &amp; EV'!L20</f>
        <v>7193.7</v>
      </c>
      <c r="E20" s="49">
        <f>+'PG-Ermittlung Market Cap &amp; EV'!M20</f>
        <v>9078.7</v>
      </c>
      <c r="F20" s="4" t="s">
        <v>53</v>
      </c>
      <c r="G20" s="5">
        <v>37256</v>
      </c>
      <c r="H20" s="257">
        <f t="shared" si="0"/>
        <v>12</v>
      </c>
      <c r="I20" s="6">
        <v>46969</v>
      </c>
      <c r="J20" s="6">
        <v>17231</v>
      </c>
      <c r="K20" s="6">
        <v>16383</v>
      </c>
      <c r="L20" s="9">
        <v>16192.6</v>
      </c>
      <c r="M20" s="9">
        <v>16922.6</v>
      </c>
      <c r="N20" s="6"/>
      <c r="O20" s="17">
        <v>1986</v>
      </c>
      <c r="P20" s="6">
        <v>1805</v>
      </c>
      <c r="Q20" s="6">
        <v>1360</v>
      </c>
      <c r="R20" s="9">
        <v>1619.7</v>
      </c>
      <c r="S20" s="9">
        <v>1734.7</v>
      </c>
      <c r="T20" s="262"/>
      <c r="U20" s="6">
        <v>1136</v>
      </c>
      <c r="V20" s="6">
        <v>1011</v>
      </c>
      <c r="W20" s="6">
        <v>605</v>
      </c>
      <c r="X20" s="9">
        <v>977.7</v>
      </c>
      <c r="Y20" s="9">
        <v>1102.7</v>
      </c>
      <c r="Z20" s="6"/>
      <c r="AA20" s="18">
        <v>3.8</v>
      </c>
      <c r="AB20" s="2">
        <v>3.51</v>
      </c>
      <c r="AC20" s="2">
        <v>0.54</v>
      </c>
      <c r="AD20" s="12">
        <v>3.54</v>
      </c>
      <c r="AE20" s="12">
        <v>3.93</v>
      </c>
      <c r="AF20" s="263"/>
      <c r="AG20" s="25">
        <f t="shared" si="1"/>
        <v>46969</v>
      </c>
      <c r="AH20" s="25">
        <f t="shared" si="2"/>
        <v>17231</v>
      </c>
      <c r="AI20" s="25">
        <f t="shared" si="3"/>
        <v>16383</v>
      </c>
      <c r="AJ20" s="25">
        <f t="shared" si="4"/>
        <v>16192.6</v>
      </c>
      <c r="AK20" s="25">
        <f t="shared" si="5"/>
        <v>16922.6</v>
      </c>
      <c r="AL20" s="3"/>
      <c r="AM20" s="31">
        <f t="shared" si="6"/>
        <v>1986</v>
      </c>
      <c r="AN20" s="25">
        <f t="shared" si="7"/>
        <v>1805</v>
      </c>
      <c r="AO20" s="25">
        <f t="shared" si="8"/>
        <v>1360</v>
      </c>
      <c r="AP20" s="25">
        <f t="shared" si="9"/>
        <v>1619.7</v>
      </c>
      <c r="AQ20" s="25">
        <f t="shared" si="10"/>
        <v>1734.7</v>
      </c>
      <c r="AR20" s="148"/>
      <c r="AS20" s="25">
        <f t="shared" si="11"/>
        <v>1136</v>
      </c>
      <c r="AT20" s="25">
        <f t="shared" si="12"/>
        <v>1011</v>
      </c>
      <c r="AU20" s="25">
        <f t="shared" si="13"/>
        <v>605</v>
      </c>
      <c r="AV20" s="25">
        <f t="shared" si="14"/>
        <v>977.7000000000002</v>
      </c>
      <c r="AW20" s="25">
        <f t="shared" si="15"/>
        <v>1102.7</v>
      </c>
      <c r="AX20" s="3"/>
      <c r="AY20" s="32">
        <f t="shared" si="16"/>
        <v>3.7999999999999994</v>
      </c>
      <c r="AZ20" s="26">
        <f t="shared" si="17"/>
        <v>3.51</v>
      </c>
      <c r="BA20" s="26">
        <f t="shared" si="18"/>
        <v>0.54</v>
      </c>
      <c r="BB20" s="26">
        <f t="shared" si="19"/>
        <v>3.5400000000000005</v>
      </c>
      <c r="BC20" s="26">
        <f t="shared" si="20"/>
        <v>3.93</v>
      </c>
      <c r="BD20" s="148"/>
      <c r="BE20" s="28">
        <f t="shared" si="35"/>
        <v>0.19329131980668102</v>
      </c>
      <c r="BF20" s="28">
        <f t="shared" si="21"/>
        <v>0.5268817828332657</v>
      </c>
      <c r="BG20" s="28">
        <f t="shared" si="22"/>
        <v>0.5541536959042911</v>
      </c>
      <c r="BH20" s="28">
        <f t="shared" si="23"/>
        <v>0.5606696886231983</v>
      </c>
      <c r="BI20" s="28">
        <f t="shared" si="24"/>
        <v>0.5364837554512901</v>
      </c>
      <c r="BJ20" s="3"/>
      <c r="BK20" s="37">
        <f t="shared" si="25"/>
        <v>4.57134944612286</v>
      </c>
      <c r="BL20" s="28">
        <f t="shared" si="26"/>
        <v>5.029750692520776</v>
      </c>
      <c r="BM20" s="28">
        <f t="shared" si="27"/>
        <v>6.675514705882353</v>
      </c>
      <c r="BN20" s="28">
        <f t="shared" si="28"/>
        <v>5.6051737976168425</v>
      </c>
      <c r="BO20" s="28">
        <f t="shared" si="29"/>
        <v>5.23358505793509</v>
      </c>
      <c r="BP20" s="148"/>
      <c r="BQ20" s="28">
        <f t="shared" si="30"/>
        <v>7.991813380281691</v>
      </c>
      <c r="BR20" s="28">
        <f t="shared" si="31"/>
        <v>8.979920870425323</v>
      </c>
      <c r="BS20" s="28">
        <f t="shared" si="32"/>
        <v>15.00611570247934</v>
      </c>
      <c r="BT20" s="28">
        <f t="shared" si="33"/>
        <v>9.285772731921856</v>
      </c>
      <c r="BU20" s="28">
        <f t="shared" si="34"/>
        <v>8.233154983222999</v>
      </c>
      <c r="BV20" s="3"/>
      <c r="BW20" s="37">
        <f t="shared" si="36"/>
        <v>14.718421052631582</v>
      </c>
      <c r="BX20" s="28">
        <f t="shared" si="37"/>
        <v>15.934472934472936</v>
      </c>
      <c r="BY20" s="28">
        <f t="shared" si="38"/>
        <v>103.57407407407406</v>
      </c>
      <c r="BZ20" s="28">
        <f t="shared" si="39"/>
        <v>15.799435028248585</v>
      </c>
      <c r="CA20" s="28">
        <f t="shared" si="40"/>
        <v>14.231552162849873</v>
      </c>
      <c r="CB20" s="148"/>
      <c r="CC20" s="38">
        <f t="shared" si="41"/>
        <v>-0.22524579187475458</v>
      </c>
      <c r="CD20" s="39">
        <f t="shared" si="42"/>
        <v>-0.6534382254215696</v>
      </c>
      <c r="CE20" s="148"/>
    </row>
    <row r="21" spans="1:83" s="42" customFormat="1" ht="18">
      <c r="A21" s="146"/>
      <c r="B21" s="1" t="s">
        <v>2</v>
      </c>
      <c r="C21" s="26">
        <f>+'PG-Ermittlung Market Cap &amp; EV'!K21</f>
        <v>39.6</v>
      </c>
      <c r="D21" s="49">
        <f>+'PG-Ermittlung Market Cap &amp; EV'!L21</f>
        <v>3300</v>
      </c>
      <c r="E21" s="49">
        <f>+'PG-Ermittlung Market Cap &amp; EV'!M21</f>
        <v>4344</v>
      </c>
      <c r="F21" s="4" t="s">
        <v>54</v>
      </c>
      <c r="G21" s="5">
        <v>37256</v>
      </c>
      <c r="H21" s="257">
        <f t="shared" si="0"/>
        <v>12</v>
      </c>
      <c r="I21" s="6">
        <v>7717</v>
      </c>
      <c r="J21" s="6">
        <v>9120</v>
      </c>
      <c r="K21" s="6">
        <v>10234</v>
      </c>
      <c r="L21" s="9">
        <v>9867.6</v>
      </c>
      <c r="M21" s="9">
        <v>10280</v>
      </c>
      <c r="N21" s="6"/>
      <c r="O21" s="17">
        <v>895</v>
      </c>
      <c r="P21" s="6">
        <v>953</v>
      </c>
      <c r="Q21" s="6">
        <v>938</v>
      </c>
      <c r="R21" s="9">
        <v>1026.6</v>
      </c>
      <c r="S21" s="9">
        <v>1121.3</v>
      </c>
      <c r="T21" s="262"/>
      <c r="U21" s="6">
        <v>404</v>
      </c>
      <c r="V21" s="6">
        <v>486</v>
      </c>
      <c r="W21" s="6">
        <v>268</v>
      </c>
      <c r="X21" s="9">
        <v>473.5</v>
      </c>
      <c r="Y21" s="9">
        <v>573.4</v>
      </c>
      <c r="Z21" s="6"/>
      <c r="AA21" s="18">
        <v>6.81</v>
      </c>
      <c r="AB21" s="2">
        <v>4.44</v>
      </c>
      <c r="AC21" s="2">
        <v>-7.12</v>
      </c>
      <c r="AD21" s="12">
        <v>2.85</v>
      </c>
      <c r="AE21" s="12">
        <v>3.59</v>
      </c>
      <c r="AF21" s="263"/>
      <c r="AG21" s="25">
        <f t="shared" si="1"/>
        <v>7717</v>
      </c>
      <c r="AH21" s="25">
        <f t="shared" si="2"/>
        <v>9120</v>
      </c>
      <c r="AI21" s="25">
        <f t="shared" si="3"/>
        <v>10234</v>
      </c>
      <c r="AJ21" s="25">
        <f t="shared" si="4"/>
        <v>9867.6</v>
      </c>
      <c r="AK21" s="25">
        <f t="shared" si="5"/>
        <v>10280</v>
      </c>
      <c r="AL21" s="3"/>
      <c r="AM21" s="31">
        <f t="shared" si="6"/>
        <v>895</v>
      </c>
      <c r="AN21" s="25">
        <f t="shared" si="7"/>
        <v>953</v>
      </c>
      <c r="AO21" s="25">
        <f t="shared" si="8"/>
        <v>938</v>
      </c>
      <c r="AP21" s="25">
        <f t="shared" si="9"/>
        <v>1026.6</v>
      </c>
      <c r="AQ21" s="25">
        <f t="shared" si="10"/>
        <v>1121.3</v>
      </c>
      <c r="AR21" s="148"/>
      <c r="AS21" s="25">
        <f t="shared" si="11"/>
        <v>404</v>
      </c>
      <c r="AT21" s="25">
        <f t="shared" si="12"/>
        <v>486</v>
      </c>
      <c r="AU21" s="25">
        <f t="shared" si="13"/>
        <v>268</v>
      </c>
      <c r="AV21" s="25">
        <f t="shared" si="14"/>
        <v>473.5</v>
      </c>
      <c r="AW21" s="25">
        <f t="shared" si="15"/>
        <v>573.4</v>
      </c>
      <c r="AX21" s="3"/>
      <c r="AY21" s="32">
        <f t="shared" si="16"/>
        <v>6.81</v>
      </c>
      <c r="AZ21" s="26">
        <f t="shared" si="17"/>
        <v>4.44</v>
      </c>
      <c r="BA21" s="26">
        <f t="shared" si="18"/>
        <v>-7.12</v>
      </c>
      <c r="BB21" s="26">
        <f t="shared" si="19"/>
        <v>2.85</v>
      </c>
      <c r="BC21" s="26">
        <f t="shared" si="20"/>
        <v>3.59</v>
      </c>
      <c r="BD21" s="148"/>
      <c r="BE21" s="28">
        <f t="shared" si="35"/>
        <v>0.5629130491123494</v>
      </c>
      <c r="BF21" s="28">
        <f t="shared" si="21"/>
        <v>0.4763157894736842</v>
      </c>
      <c r="BG21" s="28">
        <f t="shared" si="22"/>
        <v>0.42446746140316594</v>
      </c>
      <c r="BH21" s="28">
        <f t="shared" si="23"/>
        <v>0.4402286270217682</v>
      </c>
      <c r="BI21" s="28">
        <f t="shared" si="24"/>
        <v>0.422568093385214</v>
      </c>
      <c r="BJ21" s="3"/>
      <c r="BK21" s="37">
        <f t="shared" si="25"/>
        <v>4.853631284916201</v>
      </c>
      <c r="BL21" s="28">
        <f t="shared" si="26"/>
        <v>4.558237145855194</v>
      </c>
      <c r="BM21" s="28">
        <f t="shared" si="27"/>
        <v>4.631130063965885</v>
      </c>
      <c r="BN21" s="28">
        <f t="shared" si="28"/>
        <v>4.231443600233781</v>
      </c>
      <c r="BO21" s="28">
        <f t="shared" si="29"/>
        <v>3.8740747346829574</v>
      </c>
      <c r="BP21" s="148"/>
      <c r="BQ21" s="28">
        <f t="shared" si="30"/>
        <v>10.752475247524753</v>
      </c>
      <c r="BR21" s="28">
        <f t="shared" si="31"/>
        <v>8.938271604938272</v>
      </c>
      <c r="BS21" s="28">
        <f t="shared" si="32"/>
        <v>16.208955223880597</v>
      </c>
      <c r="BT21" s="28">
        <f t="shared" si="33"/>
        <v>9.174234424498415</v>
      </c>
      <c r="BU21" s="28">
        <f t="shared" si="34"/>
        <v>7.575863271712592</v>
      </c>
      <c r="BV21" s="3"/>
      <c r="BW21" s="37">
        <f t="shared" si="36"/>
        <v>5.814977973568283</v>
      </c>
      <c r="BX21" s="28">
        <f t="shared" si="37"/>
        <v>8.91891891891892</v>
      </c>
      <c r="BY21" s="28">
        <f t="shared" si="38"/>
        <v>-5.561797752808989</v>
      </c>
      <c r="BZ21" s="28">
        <f t="shared" si="39"/>
        <v>13.894736842105264</v>
      </c>
      <c r="CA21" s="28">
        <f t="shared" si="40"/>
        <v>11.030640668523677</v>
      </c>
      <c r="CB21" s="148"/>
      <c r="CC21" s="38">
        <f t="shared" si="41"/>
        <v>0.07432616645023948</v>
      </c>
      <c r="CD21" s="39">
        <f t="shared" si="42"/>
        <v>0.7823594638721673</v>
      </c>
      <c r="CE21" s="148"/>
    </row>
    <row r="22" spans="1:83" s="42" customFormat="1" ht="18">
      <c r="A22" s="146"/>
      <c r="B22" s="1" t="s">
        <v>1</v>
      </c>
      <c r="C22" s="26">
        <f>+'PG-Ermittlung Market Cap &amp; EV'!K22</f>
        <v>11.26</v>
      </c>
      <c r="D22" s="49">
        <f>+'PG-Ermittlung Market Cap &amp; EV'!L22</f>
        <v>1471.9</v>
      </c>
      <c r="E22" s="49">
        <f>+'PG-Ermittlung Market Cap &amp; EV'!M22</f>
        <v>4093.8999999999996</v>
      </c>
      <c r="F22" s="4" t="s">
        <v>53</v>
      </c>
      <c r="G22" s="5">
        <v>37256</v>
      </c>
      <c r="H22" s="257">
        <f t="shared" si="0"/>
        <v>12</v>
      </c>
      <c r="I22" s="4">
        <v>19366</v>
      </c>
      <c r="J22" s="6">
        <v>19467</v>
      </c>
      <c r="K22" s="6">
        <v>17843</v>
      </c>
      <c r="L22" s="9">
        <v>18115.5</v>
      </c>
      <c r="M22" s="9">
        <v>18225</v>
      </c>
      <c r="N22" s="6"/>
      <c r="O22" s="17">
        <v>1840</v>
      </c>
      <c r="P22" s="6">
        <v>1337</v>
      </c>
      <c r="Q22" s="6">
        <v>549</v>
      </c>
      <c r="R22" s="9" t="s">
        <v>50</v>
      </c>
      <c r="S22" s="9" t="s">
        <v>50</v>
      </c>
      <c r="T22" s="262"/>
      <c r="U22" s="6">
        <v>1189</v>
      </c>
      <c r="V22" s="6">
        <v>661</v>
      </c>
      <c r="W22" s="6">
        <v>-117</v>
      </c>
      <c r="X22" s="9" t="s">
        <v>50</v>
      </c>
      <c r="Y22" s="9" t="s">
        <v>50</v>
      </c>
      <c r="Z22" s="6"/>
      <c r="AA22" s="18">
        <v>5.65</v>
      </c>
      <c r="AB22" s="2">
        <v>2.08</v>
      </c>
      <c r="AC22" s="2">
        <v>-0.91</v>
      </c>
      <c r="AD22" s="12">
        <v>0.51</v>
      </c>
      <c r="AE22" s="12">
        <v>0.94</v>
      </c>
      <c r="AF22" s="263"/>
      <c r="AG22" s="25">
        <f t="shared" si="1"/>
        <v>19366</v>
      </c>
      <c r="AH22" s="25">
        <f t="shared" si="2"/>
        <v>19467</v>
      </c>
      <c r="AI22" s="25">
        <f t="shared" si="3"/>
        <v>17843</v>
      </c>
      <c r="AJ22" s="25">
        <f t="shared" si="4"/>
        <v>18115.5</v>
      </c>
      <c r="AK22" s="25">
        <f t="shared" si="5"/>
        <v>18225</v>
      </c>
      <c r="AL22" s="3"/>
      <c r="AM22" s="31">
        <f t="shared" si="6"/>
        <v>1840</v>
      </c>
      <c r="AN22" s="25">
        <f t="shared" si="7"/>
        <v>1337</v>
      </c>
      <c r="AO22" s="25">
        <f t="shared" si="8"/>
        <v>549</v>
      </c>
      <c r="AP22" s="25" t="str">
        <f t="shared" si="9"/>
        <v>n/a</v>
      </c>
      <c r="AQ22" s="25" t="str">
        <f t="shared" si="10"/>
        <v>n/a</v>
      </c>
      <c r="AR22" s="148"/>
      <c r="AS22" s="25">
        <f t="shared" si="11"/>
        <v>1189</v>
      </c>
      <c r="AT22" s="25">
        <f t="shared" si="12"/>
        <v>661</v>
      </c>
      <c r="AU22" s="25">
        <f t="shared" si="13"/>
        <v>-117</v>
      </c>
      <c r="AV22" s="25" t="str">
        <f t="shared" si="14"/>
        <v>n/a</v>
      </c>
      <c r="AW22" s="25" t="str">
        <f t="shared" si="15"/>
        <v>n/a</v>
      </c>
      <c r="AX22" s="3"/>
      <c r="AY22" s="32">
        <f t="shared" si="16"/>
        <v>5.650000000000001</v>
      </c>
      <c r="AZ22" s="26">
        <f t="shared" si="17"/>
        <v>2.08</v>
      </c>
      <c r="BA22" s="26">
        <f t="shared" si="18"/>
        <v>-0.91</v>
      </c>
      <c r="BB22" s="26">
        <f t="shared" si="19"/>
        <v>0.51</v>
      </c>
      <c r="BC22" s="26">
        <f t="shared" si="20"/>
        <v>0.94</v>
      </c>
      <c r="BD22" s="148"/>
      <c r="BE22" s="28">
        <f t="shared" si="35"/>
        <v>0.21139626148920787</v>
      </c>
      <c r="BF22" s="28">
        <f t="shared" si="21"/>
        <v>0.21029948117326755</v>
      </c>
      <c r="BG22" s="28">
        <f t="shared" si="22"/>
        <v>0.22944011657232527</v>
      </c>
      <c r="BH22" s="28">
        <f t="shared" si="23"/>
        <v>0.22598879412657666</v>
      </c>
      <c r="BI22" s="28">
        <f t="shared" si="24"/>
        <v>0.2246310013717421</v>
      </c>
      <c r="BJ22" s="3"/>
      <c r="BK22" s="37">
        <f t="shared" si="25"/>
        <v>2.224945652173913</v>
      </c>
      <c r="BL22" s="28">
        <f t="shared" si="26"/>
        <v>3.0620044876589376</v>
      </c>
      <c r="BM22" s="28">
        <f t="shared" si="27"/>
        <v>7.457012750455373</v>
      </c>
      <c r="BN22" s="28" t="str">
        <f t="shared" si="28"/>
        <v>n/a</v>
      </c>
      <c r="BO22" s="28" t="str">
        <f t="shared" si="29"/>
        <v>n/a</v>
      </c>
      <c r="BP22" s="148"/>
      <c r="BQ22" s="28">
        <f t="shared" si="30"/>
        <v>3.443145500420521</v>
      </c>
      <c r="BR22" s="28">
        <f t="shared" si="31"/>
        <v>6.193494704992435</v>
      </c>
      <c r="BS22" s="28">
        <f t="shared" si="32"/>
        <v>-34.990598290598285</v>
      </c>
      <c r="BT22" s="28" t="str">
        <f t="shared" si="33"/>
        <v>n/a</v>
      </c>
      <c r="BU22" s="28" t="str">
        <f t="shared" si="34"/>
        <v>n/a</v>
      </c>
      <c r="BV22" s="3"/>
      <c r="BW22" s="37">
        <f t="shared" si="36"/>
        <v>1.9929203539823004</v>
      </c>
      <c r="BX22" s="28">
        <f t="shared" si="37"/>
        <v>5.413461538461538</v>
      </c>
      <c r="BY22" s="28">
        <f t="shared" si="38"/>
        <v>-12.373626373626372</v>
      </c>
      <c r="BZ22" s="28">
        <f t="shared" si="39"/>
        <v>22.07843137254902</v>
      </c>
      <c r="CA22" s="28">
        <f t="shared" si="40"/>
        <v>11.97872340425532</v>
      </c>
      <c r="CB22" s="148"/>
      <c r="CC22" s="38">
        <f t="shared" si="41"/>
        <v>-0.015066515309970274</v>
      </c>
      <c r="CD22" s="39">
        <f t="shared" si="42"/>
        <v>-1.3227480362784911</v>
      </c>
      <c r="CE22" s="148"/>
    </row>
    <row r="23" spans="1:83" s="42" customFormat="1" ht="18">
      <c r="A23" s="146"/>
      <c r="B23" s="1" t="s">
        <v>0</v>
      </c>
      <c r="C23" s="26">
        <f>+'PG-Ermittlung Market Cap &amp; EV'!K23</f>
        <v>33.8</v>
      </c>
      <c r="D23" s="49">
        <f>+'PG-Ermittlung Market Cap &amp; EV'!L23</f>
        <v>108.2</v>
      </c>
      <c r="E23" s="49">
        <f>+'PG-Ermittlung Market Cap &amp; EV'!M23</f>
        <v>116.351</v>
      </c>
      <c r="F23" s="4" t="s">
        <v>54</v>
      </c>
      <c r="G23" s="5">
        <v>37437</v>
      </c>
      <c r="H23" s="257">
        <f t="shared" si="0"/>
        <v>6</v>
      </c>
      <c r="I23" s="6">
        <v>95.7</v>
      </c>
      <c r="J23" s="6">
        <v>111.1</v>
      </c>
      <c r="K23" s="6">
        <v>129.4</v>
      </c>
      <c r="L23" s="9">
        <v>138.4</v>
      </c>
      <c r="M23" s="9">
        <v>153.7</v>
      </c>
      <c r="N23" s="9">
        <v>169.2</v>
      </c>
      <c r="O23" s="17">
        <v>13.6</v>
      </c>
      <c r="P23" s="6">
        <v>18.1</v>
      </c>
      <c r="Q23" s="6">
        <v>23.9</v>
      </c>
      <c r="R23" s="9">
        <v>26.6</v>
      </c>
      <c r="S23" s="9">
        <v>31.7</v>
      </c>
      <c r="T23" s="261">
        <v>33.8</v>
      </c>
      <c r="U23" s="6">
        <v>9.8</v>
      </c>
      <c r="V23" s="6">
        <v>13.1</v>
      </c>
      <c r="W23" s="6">
        <v>17.5</v>
      </c>
      <c r="X23" s="9">
        <v>19.1</v>
      </c>
      <c r="Y23" s="9">
        <v>22.9</v>
      </c>
      <c r="Z23" s="9">
        <v>24.3</v>
      </c>
      <c r="AA23" s="18">
        <v>1.4</v>
      </c>
      <c r="AB23" s="2">
        <v>2.1</v>
      </c>
      <c r="AC23" s="2">
        <v>3.32</v>
      </c>
      <c r="AD23" s="12">
        <v>3.84</v>
      </c>
      <c r="AE23" s="12">
        <v>4.52</v>
      </c>
      <c r="AF23" s="268">
        <v>4.65</v>
      </c>
      <c r="AG23" s="25">
        <f t="shared" si="1"/>
        <v>103.39999999999999</v>
      </c>
      <c r="AH23" s="25">
        <f t="shared" si="2"/>
        <v>120.25</v>
      </c>
      <c r="AI23" s="25">
        <f t="shared" si="3"/>
        <v>133.9</v>
      </c>
      <c r="AJ23" s="25">
        <f t="shared" si="4"/>
        <v>146.05</v>
      </c>
      <c r="AK23" s="25">
        <f t="shared" si="5"/>
        <v>161.45</v>
      </c>
      <c r="AL23" s="3"/>
      <c r="AM23" s="31">
        <f t="shared" si="6"/>
        <v>15.850000000000001</v>
      </c>
      <c r="AN23" s="25">
        <f t="shared" si="7"/>
        <v>21</v>
      </c>
      <c r="AO23" s="25">
        <f t="shared" si="8"/>
        <v>25.25</v>
      </c>
      <c r="AP23" s="25">
        <f t="shared" si="9"/>
        <v>29.150000000000002</v>
      </c>
      <c r="AQ23" s="25">
        <f t="shared" si="10"/>
        <v>32.75</v>
      </c>
      <c r="AR23" s="148"/>
      <c r="AS23" s="25">
        <f t="shared" si="11"/>
        <v>11.45</v>
      </c>
      <c r="AT23" s="25">
        <f t="shared" si="12"/>
        <v>15.3</v>
      </c>
      <c r="AU23" s="25">
        <f t="shared" si="13"/>
        <v>18.3</v>
      </c>
      <c r="AV23" s="25">
        <f t="shared" si="14"/>
        <v>21</v>
      </c>
      <c r="AW23" s="25">
        <f t="shared" si="15"/>
        <v>23.599999999999998</v>
      </c>
      <c r="AX23" s="3"/>
      <c r="AY23" s="32">
        <f t="shared" si="16"/>
        <v>1.75</v>
      </c>
      <c r="AZ23" s="26">
        <f t="shared" si="17"/>
        <v>2.71</v>
      </c>
      <c r="BA23" s="26">
        <f t="shared" si="18"/>
        <v>3.58</v>
      </c>
      <c r="BB23" s="26">
        <f t="shared" si="19"/>
        <v>4.18</v>
      </c>
      <c r="BC23" s="26">
        <f t="shared" si="20"/>
        <v>4.585</v>
      </c>
      <c r="BD23" s="148"/>
      <c r="BE23" s="28">
        <f t="shared" si="35"/>
        <v>1.1252514506769826</v>
      </c>
      <c r="BF23" s="28">
        <f t="shared" si="21"/>
        <v>0.9675758835758835</v>
      </c>
      <c r="BG23" s="28">
        <f t="shared" si="22"/>
        <v>0.8689395070948469</v>
      </c>
      <c r="BH23" s="28">
        <f t="shared" si="23"/>
        <v>0.7966518315645327</v>
      </c>
      <c r="BI23" s="28">
        <f t="shared" si="24"/>
        <v>0.7206627438835553</v>
      </c>
      <c r="BJ23" s="3"/>
      <c r="BK23" s="37">
        <f t="shared" si="25"/>
        <v>7.340757097791798</v>
      </c>
      <c r="BL23" s="28">
        <f t="shared" si="26"/>
        <v>5.540523809523809</v>
      </c>
      <c r="BM23" s="28">
        <f t="shared" si="27"/>
        <v>4.607960396039604</v>
      </c>
      <c r="BN23" s="28">
        <f t="shared" si="28"/>
        <v>3.9914579759862776</v>
      </c>
      <c r="BO23" s="28">
        <f t="shared" si="29"/>
        <v>3.552702290076336</v>
      </c>
      <c r="BP23" s="148"/>
      <c r="BQ23" s="28">
        <f t="shared" si="30"/>
        <v>10.161659388646289</v>
      </c>
      <c r="BR23" s="28">
        <f t="shared" si="31"/>
        <v>7.604640522875816</v>
      </c>
      <c r="BS23" s="28">
        <f t="shared" si="32"/>
        <v>6.357978142076503</v>
      </c>
      <c r="BT23" s="28">
        <f t="shared" si="33"/>
        <v>5.540523809523809</v>
      </c>
      <c r="BU23" s="28">
        <f t="shared" si="34"/>
        <v>4.9301271186440685</v>
      </c>
      <c r="BV23" s="3"/>
      <c r="BW23" s="37">
        <f t="shared" si="36"/>
        <v>19.314285714285713</v>
      </c>
      <c r="BX23" s="28">
        <f t="shared" si="37"/>
        <v>12.472324723247231</v>
      </c>
      <c r="BY23" s="28">
        <f t="shared" si="38"/>
        <v>9.441340782122904</v>
      </c>
      <c r="BZ23" s="28">
        <f t="shared" si="39"/>
        <v>8.086124401913876</v>
      </c>
      <c r="CA23" s="28">
        <f t="shared" si="40"/>
        <v>7.371864776444928</v>
      </c>
      <c r="CB23" s="148"/>
      <c r="CC23" s="38">
        <f t="shared" si="41"/>
        <v>0.11783930916663521</v>
      </c>
      <c r="CD23" s="39">
        <f t="shared" si="42"/>
        <v>1.639035891408155</v>
      </c>
      <c r="CE23" s="148"/>
    </row>
    <row r="24" spans="1:83" s="42" customFormat="1" ht="12.75">
      <c r="A24" s="146"/>
      <c r="B24" s="23" t="s">
        <v>52</v>
      </c>
      <c r="C24" s="23"/>
      <c r="D24" s="23"/>
      <c r="E24" s="23"/>
      <c r="F24" s="23"/>
      <c r="G24" s="4"/>
      <c r="H24" s="148"/>
      <c r="I24" s="6"/>
      <c r="J24" s="6"/>
      <c r="K24" s="6"/>
      <c r="L24" s="6"/>
      <c r="M24" s="6"/>
      <c r="N24" s="6"/>
      <c r="O24" s="6"/>
      <c r="P24" s="6"/>
      <c r="Q24" s="6"/>
      <c r="R24" s="2"/>
      <c r="S24" s="2"/>
      <c r="T24" s="263"/>
      <c r="U24" s="6"/>
      <c r="V24" s="6"/>
      <c r="W24" s="6"/>
      <c r="X24" s="6"/>
      <c r="Y24" s="6"/>
      <c r="Z24" s="6"/>
      <c r="AA24" s="6"/>
      <c r="AB24" s="6"/>
      <c r="AC24" s="3"/>
      <c r="AD24" s="3"/>
      <c r="AE24" s="3"/>
      <c r="AF24" s="148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148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148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148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148"/>
      <c r="CC24" s="3"/>
      <c r="CD24" s="3"/>
      <c r="CE24" s="148"/>
    </row>
    <row r="25" spans="1:83" s="42" customFormat="1" ht="12.75">
      <c r="A25" s="146"/>
      <c r="B25" s="23" t="s">
        <v>55</v>
      </c>
      <c r="C25" s="23"/>
      <c r="D25" s="23"/>
      <c r="E25" s="23"/>
      <c r="F25" s="4"/>
      <c r="G25" s="4"/>
      <c r="H25" s="148"/>
      <c r="I25" s="6"/>
      <c r="J25" s="6"/>
      <c r="K25" s="6"/>
      <c r="L25" s="6"/>
      <c r="M25" s="6"/>
      <c r="N25" s="6"/>
      <c r="O25" s="6"/>
      <c r="P25" s="6"/>
      <c r="Q25" s="6"/>
      <c r="R25" s="2"/>
      <c r="S25" s="2"/>
      <c r="T25" s="263"/>
      <c r="U25" s="6"/>
      <c r="V25" s="6"/>
      <c r="W25" s="6"/>
      <c r="X25" s="6"/>
      <c r="Y25" s="6"/>
      <c r="Z25" s="6"/>
      <c r="AA25" s="6"/>
      <c r="AB25" s="6"/>
      <c r="AC25" s="3"/>
      <c r="AD25" s="3"/>
      <c r="AE25" s="3"/>
      <c r="AF25" s="148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148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148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148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148"/>
      <c r="CC25" s="3"/>
      <c r="CD25" s="3"/>
      <c r="CE25" s="148"/>
    </row>
    <row r="26" spans="1:83" s="42" customFormat="1" ht="13.5" thickBot="1">
      <c r="A26" s="150"/>
      <c r="B26" s="104"/>
      <c r="C26" s="104"/>
      <c r="D26" s="104"/>
      <c r="E26" s="104"/>
      <c r="F26" s="140"/>
      <c r="G26" s="140"/>
      <c r="H26" s="152"/>
      <c r="I26" s="169"/>
      <c r="J26" s="169"/>
      <c r="K26" s="169"/>
      <c r="L26" s="169"/>
      <c r="M26" s="169"/>
      <c r="N26" s="169"/>
      <c r="O26" s="169"/>
      <c r="P26" s="169"/>
      <c r="Q26" s="169"/>
      <c r="R26" s="168"/>
      <c r="S26" s="168"/>
      <c r="T26" s="264"/>
      <c r="U26" s="169"/>
      <c r="V26" s="169"/>
      <c r="W26" s="169"/>
      <c r="X26" s="169"/>
      <c r="Y26" s="169"/>
      <c r="Z26" s="169"/>
      <c r="AA26" s="169"/>
      <c r="AB26" s="169"/>
      <c r="AC26" s="151"/>
      <c r="AD26" s="151"/>
      <c r="AE26" s="151"/>
      <c r="AF26" s="152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2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2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2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2"/>
      <c r="CC26" s="151"/>
      <c r="CD26" s="151"/>
      <c r="CE26" s="152"/>
    </row>
    <row r="27" spans="1:83" s="42" customFormat="1" ht="13.5" thickTop="1">
      <c r="A27" s="143"/>
      <c r="B27" s="98"/>
      <c r="C27" s="98"/>
      <c r="D27" s="98"/>
      <c r="E27" s="98"/>
      <c r="F27" s="98"/>
      <c r="G27" s="98"/>
      <c r="H27" s="145"/>
      <c r="I27" s="250"/>
      <c r="J27" s="250"/>
      <c r="K27" s="250"/>
      <c r="L27" s="250"/>
      <c r="M27" s="250"/>
      <c r="N27" s="250"/>
      <c r="O27" s="250"/>
      <c r="P27" s="250"/>
      <c r="Q27" s="250"/>
      <c r="R27" s="251"/>
      <c r="S27" s="251"/>
      <c r="T27" s="265"/>
      <c r="U27" s="250"/>
      <c r="V27" s="250"/>
      <c r="W27" s="250"/>
      <c r="X27" s="250"/>
      <c r="Y27" s="250"/>
      <c r="Z27" s="250"/>
      <c r="AA27" s="250"/>
      <c r="AB27" s="250"/>
      <c r="AC27" s="144"/>
      <c r="AD27" s="144"/>
      <c r="AE27" s="144"/>
      <c r="AF27" s="145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5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5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5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5"/>
      <c r="CC27" s="144"/>
      <c r="CD27" s="144"/>
      <c r="CE27" s="145"/>
    </row>
    <row r="28" spans="1:83" s="41" customFormat="1" ht="18">
      <c r="A28" s="248"/>
      <c r="B28" s="45" t="s">
        <v>42</v>
      </c>
      <c r="C28" s="1"/>
      <c r="D28" s="1"/>
      <c r="E28" s="1"/>
      <c r="F28" s="4"/>
      <c r="G28" s="4"/>
      <c r="H28" s="258"/>
      <c r="I28" s="1" t="s">
        <v>21</v>
      </c>
      <c r="J28" s="4"/>
      <c r="K28" s="4"/>
      <c r="L28" s="1"/>
      <c r="M28" s="1"/>
      <c r="N28" s="1"/>
      <c r="O28" s="19" t="s">
        <v>25</v>
      </c>
      <c r="P28" s="1"/>
      <c r="Q28" s="1"/>
      <c r="R28" s="1"/>
      <c r="S28" s="1"/>
      <c r="T28" s="249"/>
      <c r="U28" s="1" t="s">
        <v>26</v>
      </c>
      <c r="V28" s="1"/>
      <c r="W28" s="1"/>
      <c r="X28" s="1"/>
      <c r="Y28" s="1"/>
      <c r="Z28" s="1"/>
      <c r="AA28" s="19" t="s">
        <v>27</v>
      </c>
      <c r="AB28" s="1"/>
      <c r="AC28" s="1"/>
      <c r="AD28" s="1"/>
      <c r="AE28" s="1"/>
      <c r="AF28" s="249"/>
      <c r="AG28" s="1" t="s">
        <v>21</v>
      </c>
      <c r="AH28" s="33"/>
      <c r="AI28" s="33"/>
      <c r="AJ28" s="1"/>
      <c r="AK28" s="1"/>
      <c r="AL28" s="1"/>
      <c r="AM28" s="19" t="s">
        <v>25</v>
      </c>
      <c r="AN28" s="1"/>
      <c r="AO28" s="1"/>
      <c r="AP28" s="1"/>
      <c r="AQ28" s="1"/>
      <c r="AR28" s="249"/>
      <c r="AS28" s="1" t="s">
        <v>26</v>
      </c>
      <c r="AT28" s="1"/>
      <c r="AU28" s="1"/>
      <c r="AV28" s="1"/>
      <c r="AW28" s="1"/>
      <c r="AX28" s="1"/>
      <c r="AY28" s="19" t="s">
        <v>27</v>
      </c>
      <c r="AZ28" s="1"/>
      <c r="BA28" s="1"/>
      <c r="BB28" s="1"/>
      <c r="BC28" s="1"/>
      <c r="BD28" s="249"/>
      <c r="BE28" s="1" t="s">
        <v>57</v>
      </c>
      <c r="BF28" s="1"/>
      <c r="BG28" s="1"/>
      <c r="BH28" s="1"/>
      <c r="BI28" s="1"/>
      <c r="BJ28" s="1"/>
      <c r="BK28" s="19" t="s">
        <v>58</v>
      </c>
      <c r="BL28" s="1"/>
      <c r="BM28" s="1"/>
      <c r="BN28" s="1"/>
      <c r="BO28" s="1"/>
      <c r="BP28" s="249"/>
      <c r="BQ28" s="1" t="s">
        <v>59</v>
      </c>
      <c r="BR28" s="1"/>
      <c r="BS28" s="1"/>
      <c r="BT28" s="1"/>
      <c r="BU28" s="1"/>
      <c r="BV28" s="1"/>
      <c r="BW28" s="19" t="s">
        <v>60</v>
      </c>
      <c r="BX28" s="1"/>
      <c r="BY28" s="1"/>
      <c r="BZ28" s="1"/>
      <c r="CA28" s="1"/>
      <c r="CB28" s="249"/>
      <c r="CC28" s="1" t="s">
        <v>63</v>
      </c>
      <c r="CD28" s="1" t="s">
        <v>61</v>
      </c>
      <c r="CE28" s="249"/>
    </row>
    <row r="29" spans="1:83" s="42" customFormat="1" ht="12.75">
      <c r="A29" s="146"/>
      <c r="B29" s="4" t="s">
        <v>47</v>
      </c>
      <c r="C29" s="270" t="s">
        <v>45</v>
      </c>
      <c r="D29" s="270" t="s">
        <v>116</v>
      </c>
      <c r="E29" s="270" t="s">
        <v>44</v>
      </c>
      <c r="F29" s="4"/>
      <c r="G29" s="4"/>
      <c r="H29" s="256"/>
      <c r="I29" s="13">
        <v>1999</v>
      </c>
      <c r="J29" s="13">
        <v>2000</v>
      </c>
      <c r="K29" s="13">
        <v>2001</v>
      </c>
      <c r="L29" s="13" t="s">
        <v>22</v>
      </c>
      <c r="M29" s="13" t="s">
        <v>23</v>
      </c>
      <c r="N29" s="13" t="s">
        <v>24</v>
      </c>
      <c r="O29" s="29">
        <v>1999</v>
      </c>
      <c r="P29" s="13">
        <v>2000</v>
      </c>
      <c r="Q29" s="13">
        <v>2001</v>
      </c>
      <c r="R29" s="13" t="s">
        <v>22</v>
      </c>
      <c r="S29" s="13" t="s">
        <v>23</v>
      </c>
      <c r="T29" s="245" t="s">
        <v>24</v>
      </c>
      <c r="U29" s="13">
        <v>1999</v>
      </c>
      <c r="V29" s="13">
        <v>2000</v>
      </c>
      <c r="W29" s="13">
        <v>2001</v>
      </c>
      <c r="X29" s="13" t="s">
        <v>22</v>
      </c>
      <c r="Y29" s="13" t="s">
        <v>23</v>
      </c>
      <c r="Z29" s="13" t="s">
        <v>24</v>
      </c>
      <c r="AA29" s="29">
        <v>1999</v>
      </c>
      <c r="AB29" s="13">
        <v>2000</v>
      </c>
      <c r="AC29" s="13">
        <v>2001</v>
      </c>
      <c r="AD29" s="13" t="s">
        <v>22</v>
      </c>
      <c r="AE29" s="13" t="s">
        <v>23</v>
      </c>
      <c r="AF29" s="245" t="s">
        <v>24</v>
      </c>
      <c r="AG29" s="13">
        <v>1999</v>
      </c>
      <c r="AH29" s="13">
        <v>2000</v>
      </c>
      <c r="AI29" s="13">
        <v>2001</v>
      </c>
      <c r="AJ29" s="13" t="s">
        <v>22</v>
      </c>
      <c r="AK29" s="13" t="s">
        <v>23</v>
      </c>
      <c r="AL29" s="3"/>
      <c r="AM29" s="29">
        <v>1999</v>
      </c>
      <c r="AN29" s="13">
        <v>2000</v>
      </c>
      <c r="AO29" s="13">
        <v>2001</v>
      </c>
      <c r="AP29" s="13" t="s">
        <v>22</v>
      </c>
      <c r="AQ29" s="13" t="s">
        <v>23</v>
      </c>
      <c r="AR29" s="148"/>
      <c r="AS29" s="13">
        <v>1999</v>
      </c>
      <c r="AT29" s="13">
        <v>2000</v>
      </c>
      <c r="AU29" s="13">
        <v>2001</v>
      </c>
      <c r="AV29" s="13" t="s">
        <v>22</v>
      </c>
      <c r="AW29" s="13" t="s">
        <v>23</v>
      </c>
      <c r="AX29" s="3"/>
      <c r="AY29" s="29">
        <v>1999</v>
      </c>
      <c r="AZ29" s="13">
        <v>2000</v>
      </c>
      <c r="BA29" s="13">
        <v>2001</v>
      </c>
      <c r="BB29" s="13" t="s">
        <v>22</v>
      </c>
      <c r="BC29" s="13" t="s">
        <v>23</v>
      </c>
      <c r="BD29" s="148"/>
      <c r="BE29" s="13">
        <v>1999</v>
      </c>
      <c r="BF29" s="13">
        <v>2000</v>
      </c>
      <c r="BG29" s="13">
        <v>2001</v>
      </c>
      <c r="BH29" s="13" t="s">
        <v>22</v>
      </c>
      <c r="BI29" s="13" t="s">
        <v>23</v>
      </c>
      <c r="BJ29" s="3"/>
      <c r="BK29" s="29">
        <v>1999</v>
      </c>
      <c r="BL29" s="13">
        <v>2000</v>
      </c>
      <c r="BM29" s="13">
        <v>2001</v>
      </c>
      <c r="BN29" s="13" t="s">
        <v>22</v>
      </c>
      <c r="BO29" s="13" t="s">
        <v>23</v>
      </c>
      <c r="BP29" s="148"/>
      <c r="BQ29" s="13">
        <v>1999</v>
      </c>
      <c r="BR29" s="13">
        <v>2000</v>
      </c>
      <c r="BS29" s="13">
        <v>2001</v>
      </c>
      <c r="BT29" s="13" t="s">
        <v>22</v>
      </c>
      <c r="BU29" s="13" t="s">
        <v>23</v>
      </c>
      <c r="BV29" s="3"/>
      <c r="BW29" s="29">
        <v>1999</v>
      </c>
      <c r="BX29" s="13">
        <v>2000</v>
      </c>
      <c r="BY29" s="13">
        <v>2001</v>
      </c>
      <c r="BZ29" s="13" t="s">
        <v>22</v>
      </c>
      <c r="CA29" s="13" t="s">
        <v>23</v>
      </c>
      <c r="CB29" s="148"/>
      <c r="CC29" s="3" t="s">
        <v>62</v>
      </c>
      <c r="CD29" s="3"/>
      <c r="CE29" s="148"/>
    </row>
    <row r="30" spans="1:83" s="42" customFormat="1" ht="12.75">
      <c r="A30" s="146"/>
      <c r="B30" s="4"/>
      <c r="C30" s="270"/>
      <c r="D30" s="270"/>
      <c r="E30" s="270"/>
      <c r="F30" s="4"/>
      <c r="G30" s="4"/>
      <c r="H30" s="256"/>
      <c r="I30" s="13"/>
      <c r="J30" s="13"/>
      <c r="K30" s="13"/>
      <c r="L30" s="13"/>
      <c r="M30" s="13"/>
      <c r="N30" s="13"/>
      <c r="O30" s="29"/>
      <c r="P30" s="13"/>
      <c r="Q30" s="13"/>
      <c r="R30" s="13"/>
      <c r="S30" s="13"/>
      <c r="T30" s="245"/>
      <c r="U30" s="13"/>
      <c r="V30" s="13"/>
      <c r="W30" s="13"/>
      <c r="X30" s="13"/>
      <c r="Y30" s="13"/>
      <c r="Z30" s="13"/>
      <c r="AA30" s="29"/>
      <c r="AB30" s="13"/>
      <c r="AC30" s="13"/>
      <c r="AD30" s="13"/>
      <c r="AE30" s="13"/>
      <c r="AF30" s="245"/>
      <c r="AG30" s="13"/>
      <c r="AH30" s="13"/>
      <c r="AI30" s="13"/>
      <c r="AJ30" s="13"/>
      <c r="AK30" s="13"/>
      <c r="AL30" s="3"/>
      <c r="AM30" s="29"/>
      <c r="AN30" s="13"/>
      <c r="AO30" s="13"/>
      <c r="AP30" s="13"/>
      <c r="AQ30" s="13"/>
      <c r="AR30" s="148"/>
      <c r="AS30" s="13"/>
      <c r="AT30" s="13"/>
      <c r="AU30" s="13"/>
      <c r="AV30" s="13"/>
      <c r="AW30" s="13"/>
      <c r="AX30" s="3"/>
      <c r="AY30" s="29"/>
      <c r="AZ30" s="13"/>
      <c r="BA30" s="13"/>
      <c r="BB30" s="13"/>
      <c r="BC30" s="13"/>
      <c r="BD30" s="148"/>
      <c r="BE30" s="13"/>
      <c r="BF30" s="13"/>
      <c r="BG30" s="13"/>
      <c r="BH30" s="13"/>
      <c r="BI30" s="13"/>
      <c r="BJ30" s="3"/>
      <c r="BK30" s="29"/>
      <c r="BL30" s="13"/>
      <c r="BM30" s="13"/>
      <c r="BN30" s="13"/>
      <c r="BO30" s="13"/>
      <c r="BP30" s="148"/>
      <c r="BQ30" s="13"/>
      <c r="BR30" s="13"/>
      <c r="BS30" s="13"/>
      <c r="BT30" s="13"/>
      <c r="BU30" s="13"/>
      <c r="BV30" s="3"/>
      <c r="BW30" s="29"/>
      <c r="BX30" s="13"/>
      <c r="BY30" s="13"/>
      <c r="BZ30" s="13"/>
      <c r="CA30" s="13"/>
      <c r="CB30" s="148"/>
      <c r="CC30" s="3"/>
      <c r="CD30" s="3"/>
      <c r="CE30" s="148"/>
    </row>
    <row r="31" spans="1:83" s="42" customFormat="1" ht="18">
      <c r="A31" s="146"/>
      <c r="B31" s="1" t="s">
        <v>18</v>
      </c>
      <c r="C31" s="26">
        <f aca="true" t="shared" si="43" ref="C31:E46">+C5</f>
        <v>44.1</v>
      </c>
      <c r="D31" s="49">
        <f t="shared" si="43"/>
        <v>441</v>
      </c>
      <c r="E31" s="49">
        <f t="shared" si="43"/>
        <v>367</v>
      </c>
      <c r="F31" s="4" t="s">
        <v>54</v>
      </c>
      <c r="G31" s="5">
        <v>37346</v>
      </c>
      <c r="H31" s="257">
        <f aca="true" t="shared" si="44" ref="H31:H49">MONTH(G31)</f>
        <v>3</v>
      </c>
      <c r="I31" s="25">
        <f>+I5</f>
        <v>217.9</v>
      </c>
      <c r="J31" s="25">
        <f>+J5</f>
        <v>248</v>
      </c>
      <c r="K31" s="25">
        <f>+K5</f>
        <v>276.5</v>
      </c>
      <c r="L31" s="25">
        <f>+L5</f>
        <v>303.1</v>
      </c>
      <c r="M31" s="9">
        <f>(315.615+311+325)/3</f>
        <v>317.205</v>
      </c>
      <c r="N31" s="9">
        <f>+(334+370)/2</f>
        <v>352</v>
      </c>
      <c r="O31" s="31">
        <f aca="true" t="shared" si="45" ref="O31:Q49">+O5</f>
        <v>54.3</v>
      </c>
      <c r="P31" s="25">
        <f t="shared" si="45"/>
        <v>69.1</v>
      </c>
      <c r="Q31" s="25">
        <f t="shared" si="45"/>
        <v>69.4</v>
      </c>
      <c r="R31" s="6">
        <v>75.7</v>
      </c>
      <c r="S31" s="9">
        <f>+(78+78.08+77.29)/3</f>
        <v>77.79</v>
      </c>
      <c r="T31" s="261">
        <f>+(83+79.11+82.09)/3</f>
        <v>81.4</v>
      </c>
      <c r="U31" s="25">
        <f aca="true" t="shared" si="46" ref="U31:W49">+U5</f>
        <v>39.7</v>
      </c>
      <c r="V31" s="25">
        <f t="shared" si="46"/>
        <v>53.6</v>
      </c>
      <c r="W31" s="25">
        <f t="shared" si="46"/>
        <v>49.2</v>
      </c>
      <c r="X31" s="6">
        <v>53.2</v>
      </c>
      <c r="Y31" s="9">
        <f>+(55.76+56+51.33)/3</f>
        <v>54.36333333333332</v>
      </c>
      <c r="Z31" s="9">
        <f>+(58+60.14)/2</f>
        <v>59.07</v>
      </c>
      <c r="AA31" s="32">
        <f>+AA5</f>
        <v>1.91</v>
      </c>
      <c r="AB31" s="26">
        <f>+AB5</f>
        <v>3.1</v>
      </c>
      <c r="AC31" s="26">
        <f>+AC5</f>
        <v>3.33</v>
      </c>
      <c r="AD31" s="26">
        <f>+AD5</f>
        <v>4.28</v>
      </c>
      <c r="AE31" s="12">
        <f>+(3.84+3.65+3.48)/3</f>
        <v>3.6566666666666667</v>
      </c>
      <c r="AF31" s="268">
        <f>+(3.93+3.79)/2</f>
        <v>3.8600000000000003</v>
      </c>
      <c r="AG31" s="25">
        <f aca="true" t="shared" si="47" ref="AG31:AG49">IF(OR(I31="n/a",J31="n/a"),IF(AND($H31&lt;12,J31="n/a"),"n/a",I31),I31*$H31/12+J31*(12-$H31)/12)</f>
        <v>240.475</v>
      </c>
      <c r="AH31" s="25">
        <f aca="true" t="shared" si="48" ref="AH31:AH49">IF(OR(J31="n/a",K31="n/a"),IF(AND($H31&lt;12,K31="n/a"),"n/a",J31),J31*$H31/12+K31*(12-$H31)/12)</f>
        <v>269.375</v>
      </c>
      <c r="AI31" s="25">
        <f aca="true" t="shared" si="49" ref="AI31:AI49">IF(OR(K31="n/a",L31="n/a"),IF(AND($H31&lt;12,L31="n/a"),"n/a",K31),K31*$H31/12+L31*(12-$H31)/12)</f>
        <v>296.45000000000005</v>
      </c>
      <c r="AJ31" s="25">
        <f aca="true" t="shared" si="50" ref="AJ31:AJ49">IF(OR(L31="n/a",M31="n/a"),IF(AND($H31&lt;12,M31="n/a"),"n/a",L31),L31*$H31/12+M31*(12-$H31)/12)</f>
        <v>313.67875</v>
      </c>
      <c r="AK31" s="25">
        <f aca="true" t="shared" si="51" ref="AK31:AK49">IF(OR(M31="n/a",N31="n/a"),IF(AND($H31&lt;12,N31="n/a"),"n/a",M31),M31*$H31/12+N31*(12-$H31)/12)</f>
        <v>343.30125</v>
      </c>
      <c r="AL31" s="25"/>
      <c r="AM31" s="31">
        <f aca="true" t="shared" si="52" ref="AM31:AM49">IF(OR(O31="n/a",P31="n/a"),IF(AND($H31&lt;12,P31="n/a"),"n/a",O31),O31*$H31/12+P31*(12-$H31)/12)</f>
        <v>65.39999999999999</v>
      </c>
      <c r="AN31" s="25">
        <f aca="true" t="shared" si="53" ref="AN31:AN49">IF(OR(P31="n/a",Q31="n/a"),IF(AND($H31&lt;12,Q31="n/a"),"n/a",P31),P31*$H31/12+Q31*(12-$H31)/12)</f>
        <v>69.325</v>
      </c>
      <c r="AO31" s="25">
        <f aca="true" t="shared" si="54" ref="AO31:AO49">IF(OR(Q31="n/a",R31="n/a"),IF(AND($H31&lt;12,R31="n/a"),"n/a",Q31),Q31*$H31/12+R31*(12-$H31)/12)</f>
        <v>74.125</v>
      </c>
      <c r="AP31" s="25">
        <f aca="true" t="shared" si="55" ref="AP31:AP49">IF(OR(R31="n/a",S31="n/a"),IF(AND($H31&lt;12,S31="n/a"),"n/a",R31),R31*$H31/12+S31*(12-$H31)/12)</f>
        <v>77.2675</v>
      </c>
      <c r="AQ31" s="25">
        <f aca="true" t="shared" si="56" ref="AQ31:AQ49">IF(OR(S31="n/a",T31="n/a"),IF(AND($H31&lt;12,T31="n/a"),"n/a",S31),S31*$H31/12+T31*(12-$H31)/12)</f>
        <v>80.4975</v>
      </c>
      <c r="AR31" s="269"/>
      <c r="AS31" s="25">
        <f aca="true" t="shared" si="57" ref="AS31:AS49">IF(OR(U31="n/a",V31="n/a"),IF(AND($H31&lt;12,V31="n/a"),"n/a",U31),U31*$H31/12+V31*(12-$H31)/12)</f>
        <v>50.125</v>
      </c>
      <c r="AT31" s="25">
        <f aca="true" t="shared" si="58" ref="AT31:AT49">IF(OR(V31="n/a",W31="n/a"),IF(AND($H31&lt;12,W31="n/a"),"n/a",V31),V31*$H31/12+W31*(12-$H31)/12)</f>
        <v>50.3</v>
      </c>
      <c r="AU31" s="25">
        <f aca="true" t="shared" si="59" ref="AU31:AU49">IF(OR(W31="n/a",X31="n/a"),IF(AND($H31&lt;12,X31="n/a"),"n/a",W31),W31*$H31/12+X31*(12-$H31)/12)</f>
        <v>52.2</v>
      </c>
      <c r="AV31" s="25">
        <f aca="true" t="shared" si="60" ref="AV31:AV49">IF(OR(X31="n/a",Y31="n/a"),IF(AND($H31&lt;12,Y31="n/a"),"n/a",X31),X31*$H31/12+Y31*(12-$H31)/12)</f>
        <v>54.0725</v>
      </c>
      <c r="AW31" s="25">
        <f aca="true" t="shared" si="61" ref="AW31:AW49">IF(OR(Y31="n/a",Z31="n/a"),IF(AND($H31&lt;12,Z31="n/a"),"n/a",Y31),Y31*$H31/12+Z31*(12-$H31)/12)</f>
        <v>57.89333333333333</v>
      </c>
      <c r="AX31" s="3"/>
      <c r="AY31" s="32">
        <f aca="true" t="shared" si="62" ref="AY31:AY49">IF(OR(AA31="n/a",AB31="n/a"),IF(AND($H31&lt;12,AB31="n/a"),"n/a",AA31),AA31*$H31/12+AB31*(12-$H31)/12)</f>
        <v>2.8025</v>
      </c>
      <c r="AZ31" s="26">
        <f aca="true" t="shared" si="63" ref="AZ31:AZ49">IF(OR(AB31="n/a",AC31="n/a"),IF(AND($H31&lt;12,AC31="n/a"),"n/a",AB31),AB31*$H31/12+AC31*(12-$H31)/12)</f>
        <v>3.2725</v>
      </c>
      <c r="BA31" s="26">
        <f aca="true" t="shared" si="64" ref="BA31:BA49">IF(OR(AC31="n/a",AD31="n/a"),IF(AND($H31&lt;12,AD31="n/a"),"n/a",AC31),AC31*$H31/12+AD31*(12-$H31)/12)</f>
        <v>4.0425</v>
      </c>
      <c r="BB31" s="26">
        <f aca="true" t="shared" si="65" ref="BB31:BB49">IF(OR(AD31="n/a",AE31="n/a"),IF(AND($H31&lt;12,AE31="n/a"),"n/a",AD31),AD31*$H31/12+AE31*(12-$H31)/12)</f>
        <v>3.8125</v>
      </c>
      <c r="BC31" s="26">
        <f aca="true" t="shared" si="66" ref="BC31:BC49">IF(OR(AE31="n/a",AF31="n/a"),IF(AND($H31&lt;12,AF31="n/a"),"n/a",AE31),AE31*$H31/12+AF31*(12-$H31)/12)</f>
        <v>3.8091666666666666</v>
      </c>
      <c r="BD31" s="148"/>
      <c r="BE31" s="28">
        <f>IF(AG31="n/a","n/a",$E31/AG31)</f>
        <v>1.5261461690404408</v>
      </c>
      <c r="BF31" s="28">
        <f aca="true" t="shared" si="67" ref="BF31:BF49">IF(AH31="n/a","n/a",$E31/AH31)</f>
        <v>1.362412993039443</v>
      </c>
      <c r="BG31" s="28">
        <f aca="true" t="shared" si="68" ref="BG31:BG49">IF(AI31="n/a","n/a",$E31/AI31)</f>
        <v>1.2379827964243546</v>
      </c>
      <c r="BH31" s="28">
        <f aca="true" t="shared" si="69" ref="BH31:BH49">IF(AJ31="n/a","n/a",$E31/AJ31)</f>
        <v>1.1699868097536095</v>
      </c>
      <c r="BI31" s="28">
        <f aca="true" t="shared" si="70" ref="BI31:BI49">IF(AK31="n/a","n/a",$E31/AK31)</f>
        <v>1.06903193623676</v>
      </c>
      <c r="BJ31" s="3"/>
      <c r="BK31" s="37">
        <f aca="true" t="shared" si="71" ref="BK31:BK49">IF(AM31="n/a","n/a",$E31/AM31)</f>
        <v>5.611620795107035</v>
      </c>
      <c r="BL31" s="28">
        <f aca="true" t="shared" si="72" ref="BL31:BL49">IF(AN31="n/a","n/a",$E31/AN31)</f>
        <v>5.293905517490082</v>
      </c>
      <c r="BM31" s="28">
        <f aca="true" t="shared" si="73" ref="BM31:BM49">IF(AO31="n/a","n/a",$E31/AO31)</f>
        <v>4.951096121416526</v>
      </c>
      <c r="BN31" s="28">
        <f aca="true" t="shared" si="74" ref="BN31:BN49">IF(AP31="n/a","n/a",$E31/AP31)</f>
        <v>4.7497330701782765</v>
      </c>
      <c r="BO31" s="28">
        <f aca="true" t="shared" si="75" ref="BO31:BO49">IF(AQ31="n/a","n/a",$E31/AQ31)</f>
        <v>4.5591477996211065</v>
      </c>
      <c r="BP31" s="148"/>
      <c r="BQ31" s="28">
        <f aca="true" t="shared" si="76" ref="BQ31:BQ49">IF(AS31="n/a","n/a",$E31/AS31)</f>
        <v>7.321695760598503</v>
      </c>
      <c r="BR31" s="28">
        <f aca="true" t="shared" si="77" ref="BR31:BR49">IF(AT31="n/a","n/a",$E31/AT31)</f>
        <v>7.296222664015905</v>
      </c>
      <c r="BS31" s="28">
        <f aca="true" t="shared" si="78" ref="BS31:BS49">IF(AU31="n/a","n/a",$E31/AU31)</f>
        <v>7.030651340996168</v>
      </c>
      <c r="BT31" s="28">
        <f aca="true" t="shared" si="79" ref="BT31:BT49">IF(AV31="n/a","n/a",$E31/AV31)</f>
        <v>6.787183873503167</v>
      </c>
      <c r="BU31" s="28">
        <f aca="true" t="shared" si="80" ref="BU31:BU49">IF(AW31="n/a","n/a",$E31/AW31)</f>
        <v>6.339244587747582</v>
      </c>
      <c r="BV31" s="3"/>
      <c r="BW31" s="37">
        <f>IF(AY31="n/a","n/a",$C31/AY31)</f>
        <v>15.735950044603033</v>
      </c>
      <c r="BX31" s="28">
        <f>IF(AZ31="n/a","n/a",$C31/AZ31)</f>
        <v>13.475935828877006</v>
      </c>
      <c r="BY31" s="28">
        <f>IF(BA31="n/a","n/a",$C31/BA31)</f>
        <v>10.909090909090908</v>
      </c>
      <c r="BZ31" s="28">
        <f>IF(BB31="n/a","n/a",$C31/BB31)</f>
        <v>11.567213114754098</v>
      </c>
      <c r="CA31" s="28">
        <f>IF(BC31="n/a","n/a",$C31/BC31)</f>
        <v>11.577335375191424</v>
      </c>
      <c r="CB31" s="148"/>
      <c r="CC31" s="38">
        <f>IF(AK31="n/a","n/a",(AK31/AG31)^0.25-1)</f>
        <v>0.09307852688391671</v>
      </c>
      <c r="CD31" s="39">
        <f>IF(OR(BW31="n/a",CC31="n/a"),"n/a",BW31/CC31/100)</f>
        <v>1.6906101301139187</v>
      </c>
      <c r="CE31" s="148"/>
    </row>
    <row r="32" spans="1:83" s="43" customFormat="1" ht="18">
      <c r="A32" s="252"/>
      <c r="B32" s="1" t="s">
        <v>17</v>
      </c>
      <c r="C32" s="26">
        <f t="shared" si="43"/>
        <v>60.3</v>
      </c>
      <c r="D32" s="49">
        <f t="shared" si="43"/>
        <v>1608.8</v>
      </c>
      <c r="E32" s="49">
        <f t="shared" si="43"/>
        <v>2516</v>
      </c>
      <c r="F32" s="4" t="s">
        <v>53</v>
      </c>
      <c r="G32" s="5">
        <v>37256</v>
      </c>
      <c r="H32" s="257">
        <f t="shared" si="44"/>
        <v>12</v>
      </c>
      <c r="I32" s="25">
        <f aca="true" t="shared" si="81" ref="I32:K47">+I6</f>
        <v>2458.6</v>
      </c>
      <c r="J32" s="25">
        <f t="shared" si="81"/>
        <v>2645.9</v>
      </c>
      <c r="K32" s="25">
        <f t="shared" si="81"/>
        <v>2351.6</v>
      </c>
      <c r="L32" s="9">
        <v>2659</v>
      </c>
      <c r="M32" s="9">
        <v>2967.3</v>
      </c>
      <c r="N32" s="6"/>
      <c r="O32" s="31">
        <f t="shared" si="45"/>
        <v>366.8</v>
      </c>
      <c r="P32" s="25">
        <f t="shared" si="45"/>
        <v>398.7</v>
      </c>
      <c r="Q32" s="25">
        <f t="shared" si="45"/>
        <v>315.3</v>
      </c>
      <c r="R32" s="9">
        <v>367.9</v>
      </c>
      <c r="S32" s="9">
        <v>409.7</v>
      </c>
      <c r="T32" s="262"/>
      <c r="U32" s="25">
        <f t="shared" si="46"/>
        <v>243.4</v>
      </c>
      <c r="V32" s="25">
        <f t="shared" si="46"/>
        <v>253.2</v>
      </c>
      <c r="W32" s="25">
        <f t="shared" si="46"/>
        <v>169.1</v>
      </c>
      <c r="X32" s="9" t="s">
        <v>50</v>
      </c>
      <c r="Y32" s="9" t="s">
        <v>50</v>
      </c>
      <c r="Z32" s="6"/>
      <c r="AA32" s="32">
        <f aca="true" t="shared" si="82" ref="AA32:AC49">+AA6</f>
        <v>5.07</v>
      </c>
      <c r="AB32" s="26">
        <f t="shared" si="82"/>
        <v>3.54</v>
      </c>
      <c r="AC32" s="26">
        <f t="shared" si="82"/>
        <v>2.51</v>
      </c>
      <c r="AD32" s="12">
        <v>5.63</v>
      </c>
      <c r="AE32" s="12">
        <v>6.41</v>
      </c>
      <c r="AF32" s="263"/>
      <c r="AG32" s="25">
        <f t="shared" si="47"/>
        <v>2458.6</v>
      </c>
      <c r="AH32" s="25">
        <f t="shared" si="48"/>
        <v>2645.9</v>
      </c>
      <c r="AI32" s="25">
        <f t="shared" si="49"/>
        <v>2351.6</v>
      </c>
      <c r="AJ32" s="25">
        <f t="shared" si="50"/>
        <v>2659</v>
      </c>
      <c r="AK32" s="25">
        <f t="shared" si="51"/>
        <v>2967.3000000000006</v>
      </c>
      <c r="AL32" s="25"/>
      <c r="AM32" s="31">
        <f t="shared" si="52"/>
        <v>366.8</v>
      </c>
      <c r="AN32" s="25">
        <f t="shared" si="53"/>
        <v>398.7</v>
      </c>
      <c r="AO32" s="25">
        <f t="shared" si="54"/>
        <v>315.3</v>
      </c>
      <c r="AP32" s="25">
        <f t="shared" si="55"/>
        <v>367.8999999999999</v>
      </c>
      <c r="AQ32" s="25">
        <f t="shared" si="56"/>
        <v>409.7</v>
      </c>
      <c r="AR32" s="253"/>
      <c r="AS32" s="25">
        <f t="shared" si="57"/>
        <v>243.4</v>
      </c>
      <c r="AT32" s="25">
        <f t="shared" si="58"/>
        <v>253.19999999999996</v>
      </c>
      <c r="AU32" s="25">
        <f t="shared" si="59"/>
        <v>169.1</v>
      </c>
      <c r="AV32" s="25" t="str">
        <f t="shared" si="60"/>
        <v>n/a</v>
      </c>
      <c r="AW32" s="25" t="str">
        <f t="shared" si="61"/>
        <v>n/a</v>
      </c>
      <c r="AX32" s="20"/>
      <c r="AY32" s="32">
        <f t="shared" si="62"/>
        <v>5.07</v>
      </c>
      <c r="AZ32" s="26">
        <f t="shared" si="63"/>
        <v>3.5400000000000005</v>
      </c>
      <c r="BA32" s="26">
        <f t="shared" si="64"/>
        <v>2.51</v>
      </c>
      <c r="BB32" s="26">
        <f t="shared" si="65"/>
        <v>5.63</v>
      </c>
      <c r="BC32" s="26">
        <f t="shared" si="66"/>
        <v>6.41</v>
      </c>
      <c r="BD32" s="253"/>
      <c r="BE32" s="28">
        <f aca="true" t="shared" si="83" ref="BE32:BE49">IF(AG32="n/a","n/a",$E32/AG32)</f>
        <v>1.023346620027658</v>
      </c>
      <c r="BF32" s="28">
        <f t="shared" si="67"/>
        <v>0.9509051740428587</v>
      </c>
      <c r="BG32" s="28">
        <f t="shared" si="68"/>
        <v>1.0699098486137097</v>
      </c>
      <c r="BH32" s="28">
        <f t="shared" si="69"/>
        <v>0.9462203836028582</v>
      </c>
      <c r="BI32" s="28">
        <f t="shared" si="70"/>
        <v>0.8479088733865802</v>
      </c>
      <c r="BJ32" s="20"/>
      <c r="BK32" s="37">
        <f t="shared" si="71"/>
        <v>6.859323882224645</v>
      </c>
      <c r="BL32" s="28">
        <f t="shared" si="72"/>
        <v>6.310509154752947</v>
      </c>
      <c r="BM32" s="28">
        <f t="shared" si="73"/>
        <v>7.979701871233745</v>
      </c>
      <c r="BN32" s="28">
        <f t="shared" si="74"/>
        <v>6.838814895351999</v>
      </c>
      <c r="BO32" s="28">
        <f t="shared" si="75"/>
        <v>6.141078838174274</v>
      </c>
      <c r="BP32" s="253"/>
      <c r="BQ32" s="28">
        <f t="shared" si="76"/>
        <v>10.336894001643385</v>
      </c>
      <c r="BR32" s="28">
        <f t="shared" si="77"/>
        <v>9.936808846761455</v>
      </c>
      <c r="BS32" s="28">
        <f t="shared" si="78"/>
        <v>14.878769958604376</v>
      </c>
      <c r="BT32" s="28" t="str">
        <f t="shared" si="79"/>
        <v>n/a</v>
      </c>
      <c r="BU32" s="28" t="str">
        <f t="shared" si="80"/>
        <v>n/a</v>
      </c>
      <c r="BV32" s="20"/>
      <c r="BW32" s="37">
        <f aca="true" t="shared" si="84" ref="BW32:BW49">IF(AY32="n/a","n/a",$C32/AY32)</f>
        <v>11.893491124260354</v>
      </c>
      <c r="BX32" s="28">
        <f aca="true" t="shared" si="85" ref="BX32:BX49">IF(AZ32="n/a","n/a",$C32/AZ32)</f>
        <v>17.033898305084744</v>
      </c>
      <c r="BY32" s="28">
        <f aca="true" t="shared" si="86" ref="BY32:BY49">IF(BA32="n/a","n/a",$C32/BA32)</f>
        <v>24.02390438247012</v>
      </c>
      <c r="BZ32" s="28">
        <f aca="true" t="shared" si="87" ref="BZ32:BZ49">IF(BB32="n/a","n/a",$C32/BB32)</f>
        <v>10.710479573712256</v>
      </c>
      <c r="CA32" s="28">
        <f aca="true" t="shared" si="88" ref="CA32:CA49">IF(BC32="n/a","n/a",$C32/BC32)</f>
        <v>9.407176287051481</v>
      </c>
      <c r="CB32" s="253"/>
      <c r="CC32" s="38">
        <f aca="true" t="shared" si="89" ref="CC32:CC49">IF(AK32="n/a","n/a",(AK32/AG32)^0.25-1)</f>
        <v>0.0481378269796533</v>
      </c>
      <c r="CD32" s="39">
        <f aca="true" t="shared" si="90" ref="CD32:CD49">IF(OR(BW32="n/a",CC32="n/a"),"n/a",BW32/CC32/100)</f>
        <v>2.470716247596188</v>
      </c>
      <c r="CE32" s="253"/>
    </row>
    <row r="33" spans="1:83" s="42" customFormat="1" ht="18">
      <c r="A33" s="146"/>
      <c r="B33" s="1" t="s">
        <v>16</v>
      </c>
      <c r="C33" s="26">
        <f t="shared" si="43"/>
        <v>16.7</v>
      </c>
      <c r="D33" s="49">
        <f t="shared" si="43"/>
        <v>2168.1</v>
      </c>
      <c r="E33" s="49">
        <f t="shared" si="43"/>
        <v>5912.899999999999</v>
      </c>
      <c r="F33" s="4" t="s">
        <v>54</v>
      </c>
      <c r="G33" s="5">
        <v>37256</v>
      </c>
      <c r="H33" s="257">
        <f t="shared" si="44"/>
        <v>12</v>
      </c>
      <c r="I33" s="25">
        <f t="shared" si="81"/>
        <v>9132.2</v>
      </c>
      <c r="J33" s="25">
        <f t="shared" si="81"/>
        <v>10115</v>
      </c>
      <c r="K33" s="25">
        <f t="shared" si="81"/>
        <v>11233.3</v>
      </c>
      <c r="L33" s="9">
        <v>11499.3</v>
      </c>
      <c r="M33" s="9">
        <v>12000.7</v>
      </c>
      <c r="N33" s="6"/>
      <c r="O33" s="31">
        <f t="shared" si="45"/>
        <v>1023.2</v>
      </c>
      <c r="P33" s="25">
        <f t="shared" si="45"/>
        <v>1103.1</v>
      </c>
      <c r="Q33" s="25">
        <f t="shared" si="45"/>
        <v>807.3</v>
      </c>
      <c r="R33" s="9">
        <v>1271.7</v>
      </c>
      <c r="S33" s="9">
        <v>1379.2</v>
      </c>
      <c r="T33" s="262"/>
      <c r="U33" s="25">
        <f t="shared" si="46"/>
        <v>446.4</v>
      </c>
      <c r="V33" s="25">
        <f t="shared" si="46"/>
        <v>442</v>
      </c>
      <c r="W33" s="25">
        <f t="shared" si="46"/>
        <v>-87.9</v>
      </c>
      <c r="X33" s="9">
        <v>607.9</v>
      </c>
      <c r="Y33" s="9">
        <v>682.6</v>
      </c>
      <c r="Z33" s="6"/>
      <c r="AA33" s="32">
        <f t="shared" si="82"/>
        <v>1.93</v>
      </c>
      <c r="AB33" s="26">
        <f t="shared" si="82"/>
        <v>1.6</v>
      </c>
      <c r="AC33" s="26">
        <f t="shared" si="82"/>
        <v>-2.05</v>
      </c>
      <c r="AD33" s="12">
        <v>2.02</v>
      </c>
      <c r="AE33" s="12">
        <v>2.42</v>
      </c>
      <c r="AF33" s="263"/>
      <c r="AG33" s="25">
        <f t="shared" si="47"/>
        <v>9132.2</v>
      </c>
      <c r="AH33" s="25">
        <f t="shared" si="48"/>
        <v>10115</v>
      </c>
      <c r="AI33" s="25">
        <f t="shared" si="49"/>
        <v>11233.299999999997</v>
      </c>
      <c r="AJ33" s="25">
        <f t="shared" si="50"/>
        <v>11499.299999999997</v>
      </c>
      <c r="AK33" s="25">
        <f t="shared" si="51"/>
        <v>12000.700000000003</v>
      </c>
      <c r="AL33" s="4"/>
      <c r="AM33" s="31">
        <f t="shared" si="52"/>
        <v>1023.2000000000002</v>
      </c>
      <c r="AN33" s="25">
        <f t="shared" si="53"/>
        <v>1103.1</v>
      </c>
      <c r="AO33" s="25">
        <f t="shared" si="54"/>
        <v>807.2999999999998</v>
      </c>
      <c r="AP33" s="25">
        <f t="shared" si="55"/>
        <v>1271.7</v>
      </c>
      <c r="AQ33" s="25">
        <f t="shared" si="56"/>
        <v>1379.2</v>
      </c>
      <c r="AR33" s="148"/>
      <c r="AS33" s="25">
        <f t="shared" si="57"/>
        <v>446.3999999999999</v>
      </c>
      <c r="AT33" s="25">
        <f t="shared" si="58"/>
        <v>442</v>
      </c>
      <c r="AU33" s="25">
        <f t="shared" si="59"/>
        <v>-87.90000000000002</v>
      </c>
      <c r="AV33" s="25">
        <f t="shared" si="60"/>
        <v>607.9</v>
      </c>
      <c r="AW33" s="25">
        <f t="shared" si="61"/>
        <v>682.6</v>
      </c>
      <c r="AX33" s="3"/>
      <c r="AY33" s="32">
        <f t="shared" si="62"/>
        <v>1.93</v>
      </c>
      <c r="AZ33" s="26">
        <f t="shared" si="63"/>
        <v>1.6000000000000003</v>
      </c>
      <c r="BA33" s="26">
        <f t="shared" si="64"/>
        <v>-2.05</v>
      </c>
      <c r="BB33" s="26">
        <f t="shared" si="65"/>
        <v>2.02</v>
      </c>
      <c r="BC33" s="26">
        <f t="shared" si="66"/>
        <v>2.42</v>
      </c>
      <c r="BD33" s="148"/>
      <c r="BE33" s="28">
        <f t="shared" si="83"/>
        <v>0.6474781542235166</v>
      </c>
      <c r="BF33" s="28">
        <f t="shared" si="67"/>
        <v>0.5845674740484428</v>
      </c>
      <c r="BG33" s="28">
        <f t="shared" si="68"/>
        <v>0.5263724818174534</v>
      </c>
      <c r="BH33" s="28">
        <f t="shared" si="69"/>
        <v>0.5141965163096884</v>
      </c>
      <c r="BI33" s="28">
        <f t="shared" si="70"/>
        <v>0.49271292507937015</v>
      </c>
      <c r="BJ33" s="3"/>
      <c r="BK33" s="37">
        <f t="shared" si="71"/>
        <v>5.778831118060983</v>
      </c>
      <c r="BL33" s="28">
        <f t="shared" si="72"/>
        <v>5.360257456259631</v>
      </c>
      <c r="BM33" s="28">
        <f t="shared" si="73"/>
        <v>7.324290846029976</v>
      </c>
      <c r="BN33" s="28">
        <f t="shared" si="74"/>
        <v>4.649602893764252</v>
      </c>
      <c r="BO33" s="28">
        <f t="shared" si="75"/>
        <v>4.28719547563805</v>
      </c>
      <c r="BP33" s="148"/>
      <c r="BQ33" s="28">
        <f t="shared" si="76"/>
        <v>13.245743727598565</v>
      </c>
      <c r="BR33" s="28">
        <f t="shared" si="77"/>
        <v>13.377601809954749</v>
      </c>
      <c r="BS33" s="28">
        <f t="shared" si="78"/>
        <v>-67.26848691695105</v>
      </c>
      <c r="BT33" s="28">
        <f t="shared" si="79"/>
        <v>9.726764270439215</v>
      </c>
      <c r="BU33" s="28">
        <f t="shared" si="80"/>
        <v>8.662320539115147</v>
      </c>
      <c r="BV33" s="3"/>
      <c r="BW33" s="37">
        <f t="shared" si="84"/>
        <v>8.652849740932643</v>
      </c>
      <c r="BX33" s="28">
        <f t="shared" si="85"/>
        <v>10.437499999999998</v>
      </c>
      <c r="BY33" s="28">
        <f t="shared" si="86"/>
        <v>-8.146341463414634</v>
      </c>
      <c r="BZ33" s="28">
        <f t="shared" si="87"/>
        <v>8.267326732673267</v>
      </c>
      <c r="CA33" s="28">
        <f t="shared" si="88"/>
        <v>6.900826446280992</v>
      </c>
      <c r="CB33" s="148"/>
      <c r="CC33" s="38">
        <f t="shared" si="89"/>
        <v>0.0706753183090656</v>
      </c>
      <c r="CD33" s="39">
        <f t="shared" si="90"/>
        <v>1.2243099780737363</v>
      </c>
      <c r="CE33" s="148"/>
    </row>
    <row r="34" spans="1:83" s="42" customFormat="1" ht="18">
      <c r="A34" s="146"/>
      <c r="B34" s="1" t="s">
        <v>15</v>
      </c>
      <c r="C34" s="26">
        <f t="shared" si="43"/>
        <v>31.34</v>
      </c>
      <c r="D34" s="49">
        <f t="shared" si="43"/>
        <v>1206.6</v>
      </c>
      <c r="E34" s="49">
        <f t="shared" si="43"/>
        <v>2675.6</v>
      </c>
      <c r="F34" s="4" t="s">
        <v>53</v>
      </c>
      <c r="G34" s="5">
        <v>37256</v>
      </c>
      <c r="H34" s="257">
        <f t="shared" si="44"/>
        <v>12</v>
      </c>
      <c r="I34" s="25">
        <f t="shared" si="81"/>
        <v>6639</v>
      </c>
      <c r="J34" s="25">
        <f t="shared" si="81"/>
        <v>6597</v>
      </c>
      <c r="K34" s="25">
        <f t="shared" si="81"/>
        <v>5681</v>
      </c>
      <c r="L34" s="9">
        <v>5712.3</v>
      </c>
      <c r="M34" s="9">
        <v>6189.7</v>
      </c>
      <c r="N34" s="6"/>
      <c r="O34" s="31">
        <f t="shared" si="45"/>
        <v>625</v>
      </c>
      <c r="P34" s="25">
        <f t="shared" si="45"/>
        <v>479</v>
      </c>
      <c r="Q34" s="25">
        <f t="shared" si="45"/>
        <v>304</v>
      </c>
      <c r="R34" s="9">
        <v>336</v>
      </c>
      <c r="S34" s="9">
        <v>416</v>
      </c>
      <c r="T34" s="262"/>
      <c r="U34" s="25">
        <f t="shared" si="46"/>
        <v>392</v>
      </c>
      <c r="V34" s="25">
        <f t="shared" si="46"/>
        <v>239</v>
      </c>
      <c r="W34" s="25">
        <f t="shared" si="46"/>
        <v>73</v>
      </c>
      <c r="X34" s="9" t="s">
        <v>50</v>
      </c>
      <c r="Y34" s="9" t="s">
        <v>50</v>
      </c>
      <c r="Z34" s="6"/>
      <c r="AA34" s="32">
        <f t="shared" si="82"/>
        <v>4.13</v>
      </c>
      <c r="AB34" s="26">
        <f t="shared" si="82"/>
        <v>0.2</v>
      </c>
      <c r="AC34" s="26">
        <f t="shared" si="82"/>
        <v>-2.66</v>
      </c>
      <c r="AD34" s="12">
        <v>0.62</v>
      </c>
      <c r="AE34" s="12">
        <v>2.37</v>
      </c>
      <c r="AF34" s="263"/>
      <c r="AG34" s="25">
        <f t="shared" si="47"/>
        <v>6639</v>
      </c>
      <c r="AH34" s="25">
        <f t="shared" si="48"/>
        <v>6597</v>
      </c>
      <c r="AI34" s="25">
        <f t="shared" si="49"/>
        <v>5681</v>
      </c>
      <c r="AJ34" s="25">
        <f t="shared" si="50"/>
        <v>5712.3</v>
      </c>
      <c r="AK34" s="25">
        <f t="shared" si="51"/>
        <v>6189.7</v>
      </c>
      <c r="AL34" s="4"/>
      <c r="AM34" s="31">
        <f t="shared" si="52"/>
        <v>625</v>
      </c>
      <c r="AN34" s="25">
        <f t="shared" si="53"/>
        <v>479</v>
      </c>
      <c r="AO34" s="25">
        <f t="shared" si="54"/>
        <v>304</v>
      </c>
      <c r="AP34" s="25">
        <f t="shared" si="55"/>
        <v>336</v>
      </c>
      <c r="AQ34" s="25">
        <f t="shared" si="56"/>
        <v>416</v>
      </c>
      <c r="AR34" s="148"/>
      <c r="AS34" s="25">
        <f t="shared" si="57"/>
        <v>392</v>
      </c>
      <c r="AT34" s="25">
        <f t="shared" si="58"/>
        <v>239</v>
      </c>
      <c r="AU34" s="25">
        <f t="shared" si="59"/>
        <v>73</v>
      </c>
      <c r="AV34" s="25" t="str">
        <f t="shared" si="60"/>
        <v>n/a</v>
      </c>
      <c r="AW34" s="25" t="str">
        <f t="shared" si="61"/>
        <v>n/a</v>
      </c>
      <c r="AX34" s="3"/>
      <c r="AY34" s="32">
        <f t="shared" si="62"/>
        <v>4.13</v>
      </c>
      <c r="AZ34" s="26">
        <f t="shared" si="63"/>
        <v>0.20000000000000004</v>
      </c>
      <c r="BA34" s="26">
        <f t="shared" si="64"/>
        <v>-2.66</v>
      </c>
      <c r="BB34" s="26">
        <f t="shared" si="65"/>
        <v>0.62</v>
      </c>
      <c r="BC34" s="26">
        <f t="shared" si="66"/>
        <v>2.37</v>
      </c>
      <c r="BD34" s="148"/>
      <c r="BE34" s="28">
        <f t="shared" si="83"/>
        <v>0.4030125018828137</v>
      </c>
      <c r="BF34" s="28">
        <f t="shared" si="67"/>
        <v>0.4055782931635592</v>
      </c>
      <c r="BG34" s="28">
        <f t="shared" si="68"/>
        <v>0.4709734201725048</v>
      </c>
      <c r="BH34" s="28">
        <f t="shared" si="69"/>
        <v>0.468392766486354</v>
      </c>
      <c r="BI34" s="28">
        <f t="shared" si="70"/>
        <v>0.4322665072620644</v>
      </c>
      <c r="BJ34" s="3"/>
      <c r="BK34" s="37">
        <f t="shared" si="71"/>
        <v>4.280959999999999</v>
      </c>
      <c r="BL34" s="28">
        <f t="shared" si="72"/>
        <v>5.58580375782881</v>
      </c>
      <c r="BM34" s="28">
        <f t="shared" si="73"/>
        <v>8.801315789473684</v>
      </c>
      <c r="BN34" s="28">
        <f t="shared" si="74"/>
        <v>7.963095238095238</v>
      </c>
      <c r="BO34" s="28">
        <f t="shared" si="75"/>
        <v>6.431730769230769</v>
      </c>
      <c r="BP34" s="148"/>
      <c r="BQ34" s="28">
        <f t="shared" si="76"/>
        <v>6.825510204081632</v>
      </c>
      <c r="BR34" s="28">
        <f t="shared" si="77"/>
        <v>11.194979079497907</v>
      </c>
      <c r="BS34" s="28">
        <f t="shared" si="78"/>
        <v>36.652054794520545</v>
      </c>
      <c r="BT34" s="28" t="str">
        <f t="shared" si="79"/>
        <v>n/a</v>
      </c>
      <c r="BU34" s="28" t="str">
        <f t="shared" si="80"/>
        <v>n/a</v>
      </c>
      <c r="BV34" s="3"/>
      <c r="BW34" s="37">
        <f t="shared" si="84"/>
        <v>7.588377723970945</v>
      </c>
      <c r="BX34" s="28">
        <f t="shared" si="85"/>
        <v>156.69999999999996</v>
      </c>
      <c r="BY34" s="28">
        <f t="shared" si="86"/>
        <v>-11.781954887218044</v>
      </c>
      <c r="BZ34" s="28">
        <f t="shared" si="87"/>
        <v>50.54838709677419</v>
      </c>
      <c r="CA34" s="28">
        <f t="shared" si="88"/>
        <v>13.223628691983121</v>
      </c>
      <c r="CB34" s="148"/>
      <c r="CC34" s="38">
        <f t="shared" si="89"/>
        <v>-0.017366122436470066</v>
      </c>
      <c r="CD34" s="39">
        <f t="shared" si="90"/>
        <v>-4.369644260963416</v>
      </c>
      <c r="CE34" s="148"/>
    </row>
    <row r="35" spans="1:83" s="42" customFormat="1" ht="18">
      <c r="A35" s="146"/>
      <c r="B35" s="1" t="s">
        <v>12</v>
      </c>
      <c r="C35" s="26">
        <f t="shared" si="43"/>
        <v>16.86</v>
      </c>
      <c r="D35" s="49">
        <f t="shared" si="43"/>
        <v>2505.1</v>
      </c>
      <c r="E35" s="49">
        <f t="shared" si="43"/>
        <v>5126.1</v>
      </c>
      <c r="F35" s="4" t="s">
        <v>53</v>
      </c>
      <c r="G35" s="5">
        <v>37256</v>
      </c>
      <c r="H35" s="257">
        <f t="shared" si="44"/>
        <v>12</v>
      </c>
      <c r="I35" s="25">
        <f t="shared" si="81"/>
        <v>13159</v>
      </c>
      <c r="J35" s="25">
        <f t="shared" si="81"/>
        <v>12317</v>
      </c>
      <c r="K35" s="25">
        <f t="shared" si="81"/>
        <v>10271</v>
      </c>
      <c r="L35" s="9">
        <v>10381.3</v>
      </c>
      <c r="M35" s="9">
        <v>11112.8</v>
      </c>
      <c r="N35" s="6"/>
      <c r="O35" s="31">
        <f t="shared" si="45"/>
        <v>1522</v>
      </c>
      <c r="P35" s="25">
        <f t="shared" si="45"/>
        <v>1109</v>
      </c>
      <c r="Q35" s="25">
        <f t="shared" si="45"/>
        <v>566</v>
      </c>
      <c r="R35" s="9">
        <v>829.1</v>
      </c>
      <c r="S35" s="9">
        <v>1044.6</v>
      </c>
      <c r="T35" s="262"/>
      <c r="U35" s="25">
        <f t="shared" si="46"/>
        <v>1003</v>
      </c>
      <c r="V35" s="25">
        <f t="shared" si="46"/>
        <v>586</v>
      </c>
      <c r="W35" s="25">
        <f t="shared" si="46"/>
        <v>18</v>
      </c>
      <c r="X35" s="9" t="s">
        <v>50</v>
      </c>
      <c r="Y35" s="9" t="s">
        <v>50</v>
      </c>
      <c r="Z35" s="6"/>
      <c r="AA35" s="32">
        <f t="shared" si="82"/>
        <v>3.08</v>
      </c>
      <c r="AB35" s="26">
        <f t="shared" si="82"/>
        <v>2.18</v>
      </c>
      <c r="AC35" s="26">
        <f t="shared" si="82"/>
        <v>-2.01</v>
      </c>
      <c r="AD35" s="12">
        <v>1.18</v>
      </c>
      <c r="AE35" s="12">
        <v>1.69</v>
      </c>
      <c r="AF35" s="263"/>
      <c r="AG35" s="25">
        <f t="shared" si="47"/>
        <v>13159</v>
      </c>
      <c r="AH35" s="25">
        <f t="shared" si="48"/>
        <v>12317</v>
      </c>
      <c r="AI35" s="25">
        <f t="shared" si="49"/>
        <v>10271</v>
      </c>
      <c r="AJ35" s="25">
        <f t="shared" si="50"/>
        <v>10381.3</v>
      </c>
      <c r="AK35" s="25">
        <f t="shared" si="51"/>
        <v>11112.799999999997</v>
      </c>
      <c r="AL35" s="4"/>
      <c r="AM35" s="31">
        <f t="shared" si="52"/>
        <v>1522</v>
      </c>
      <c r="AN35" s="25">
        <f t="shared" si="53"/>
        <v>1109</v>
      </c>
      <c r="AO35" s="25">
        <f t="shared" si="54"/>
        <v>566</v>
      </c>
      <c r="AP35" s="25">
        <f t="shared" si="55"/>
        <v>829.1</v>
      </c>
      <c r="AQ35" s="25">
        <f t="shared" si="56"/>
        <v>1044.6</v>
      </c>
      <c r="AR35" s="148"/>
      <c r="AS35" s="25">
        <f t="shared" si="57"/>
        <v>1003</v>
      </c>
      <c r="AT35" s="25">
        <f t="shared" si="58"/>
        <v>586</v>
      </c>
      <c r="AU35" s="25">
        <f t="shared" si="59"/>
        <v>18</v>
      </c>
      <c r="AV35" s="25" t="str">
        <f t="shared" si="60"/>
        <v>n/a</v>
      </c>
      <c r="AW35" s="25" t="str">
        <f t="shared" si="61"/>
        <v>n/a</v>
      </c>
      <c r="AX35" s="3"/>
      <c r="AY35" s="32">
        <f t="shared" si="62"/>
        <v>3.08</v>
      </c>
      <c r="AZ35" s="26">
        <f t="shared" si="63"/>
        <v>2.18</v>
      </c>
      <c r="BA35" s="26">
        <f t="shared" si="64"/>
        <v>-2.01</v>
      </c>
      <c r="BB35" s="26">
        <f t="shared" si="65"/>
        <v>1.18</v>
      </c>
      <c r="BC35" s="26">
        <f t="shared" si="66"/>
        <v>1.6900000000000002</v>
      </c>
      <c r="BD35" s="148"/>
      <c r="BE35" s="28">
        <f t="shared" si="83"/>
        <v>0.389550877726271</v>
      </c>
      <c r="BF35" s="28">
        <f t="shared" si="67"/>
        <v>0.4161808882032963</v>
      </c>
      <c r="BG35" s="28">
        <f t="shared" si="68"/>
        <v>0.4990848018693409</v>
      </c>
      <c r="BH35" s="28">
        <f t="shared" si="69"/>
        <v>0.49378208894839765</v>
      </c>
      <c r="BI35" s="28">
        <f t="shared" si="70"/>
        <v>0.4612788856093875</v>
      </c>
      <c r="BJ35" s="3"/>
      <c r="BK35" s="37">
        <f t="shared" si="71"/>
        <v>3.3680026281208937</v>
      </c>
      <c r="BL35" s="28">
        <f t="shared" si="72"/>
        <v>4.622272317403066</v>
      </c>
      <c r="BM35" s="28">
        <f t="shared" si="73"/>
        <v>9.056713780918729</v>
      </c>
      <c r="BN35" s="28">
        <f t="shared" si="74"/>
        <v>6.182728259558558</v>
      </c>
      <c r="BO35" s="28">
        <f t="shared" si="75"/>
        <v>4.907237219988513</v>
      </c>
      <c r="BP35" s="148"/>
      <c r="BQ35" s="28">
        <f t="shared" si="76"/>
        <v>5.110767696909273</v>
      </c>
      <c r="BR35" s="28">
        <f t="shared" si="77"/>
        <v>8.747610921501707</v>
      </c>
      <c r="BS35" s="28">
        <f t="shared" si="78"/>
        <v>284.78333333333336</v>
      </c>
      <c r="BT35" s="28" t="str">
        <f t="shared" si="79"/>
        <v>n/a</v>
      </c>
      <c r="BU35" s="28" t="str">
        <f t="shared" si="80"/>
        <v>n/a</v>
      </c>
      <c r="BV35" s="3"/>
      <c r="BW35" s="37">
        <f t="shared" si="84"/>
        <v>5.474025974025974</v>
      </c>
      <c r="BX35" s="28">
        <f t="shared" si="85"/>
        <v>7.7339449541284395</v>
      </c>
      <c r="BY35" s="28">
        <f t="shared" si="86"/>
        <v>-8.388059701492537</v>
      </c>
      <c r="BZ35" s="28">
        <f t="shared" si="87"/>
        <v>14.288135593220339</v>
      </c>
      <c r="CA35" s="28">
        <f t="shared" si="88"/>
        <v>9.976331360946745</v>
      </c>
      <c r="CB35" s="148"/>
      <c r="CC35" s="38">
        <f t="shared" si="89"/>
        <v>-0.04137190518886891</v>
      </c>
      <c r="CD35" s="39">
        <f t="shared" si="90"/>
        <v>-1.3231263943577725</v>
      </c>
      <c r="CE35" s="148"/>
    </row>
    <row r="36" spans="1:83" s="42" customFormat="1" ht="18">
      <c r="A36" s="146"/>
      <c r="B36" s="1" t="s">
        <v>13</v>
      </c>
      <c r="C36" s="26">
        <f t="shared" si="43"/>
        <v>9.29</v>
      </c>
      <c r="D36" s="49">
        <f t="shared" si="43"/>
        <v>5196.8</v>
      </c>
      <c r="E36" s="49">
        <f t="shared" si="43"/>
        <v>13335.8</v>
      </c>
      <c r="F36" s="4" t="s">
        <v>53</v>
      </c>
      <c r="G36" s="5">
        <v>37256</v>
      </c>
      <c r="H36" s="257">
        <f t="shared" si="44"/>
        <v>12</v>
      </c>
      <c r="I36" s="25">
        <f t="shared" si="81"/>
        <v>29192</v>
      </c>
      <c r="J36" s="25">
        <f t="shared" si="81"/>
        <v>29139</v>
      </c>
      <c r="K36" s="25">
        <f t="shared" si="81"/>
        <v>26088</v>
      </c>
      <c r="L36" s="9">
        <v>26814.4</v>
      </c>
      <c r="M36" s="9">
        <v>27435.3</v>
      </c>
      <c r="N36" s="6"/>
      <c r="O36" s="31">
        <f t="shared" si="45"/>
        <v>2538</v>
      </c>
      <c r="P36" s="25">
        <f t="shared" si="45"/>
        <v>2629</v>
      </c>
      <c r="Q36" s="25">
        <f t="shared" si="45"/>
        <v>1402</v>
      </c>
      <c r="R36" s="9">
        <v>1921.9</v>
      </c>
      <c r="S36" s="9">
        <v>2215.2</v>
      </c>
      <c r="T36" s="262"/>
      <c r="U36" s="25">
        <f t="shared" si="46"/>
        <v>1682</v>
      </c>
      <c r="V36" s="25">
        <f t="shared" si="46"/>
        <v>1693</v>
      </c>
      <c r="W36" s="25">
        <f t="shared" si="46"/>
        <v>252</v>
      </c>
      <c r="X36" s="9">
        <v>918</v>
      </c>
      <c r="Y36" s="9">
        <v>1021</v>
      </c>
      <c r="Z36" s="6"/>
      <c r="AA36" s="32">
        <f t="shared" si="82"/>
        <v>1.95</v>
      </c>
      <c r="AB36" s="26">
        <f t="shared" si="82"/>
        <v>1.88</v>
      </c>
      <c r="AC36" s="26">
        <f t="shared" si="82"/>
        <v>-0.66</v>
      </c>
      <c r="AD36" s="12">
        <v>0.87</v>
      </c>
      <c r="AE36" s="12">
        <v>1.16</v>
      </c>
      <c r="AF36" s="263"/>
      <c r="AG36" s="25">
        <f t="shared" si="47"/>
        <v>29192</v>
      </c>
      <c r="AH36" s="25">
        <f t="shared" si="48"/>
        <v>29139</v>
      </c>
      <c r="AI36" s="25">
        <f t="shared" si="49"/>
        <v>26088</v>
      </c>
      <c r="AJ36" s="25">
        <f t="shared" si="50"/>
        <v>26814.400000000005</v>
      </c>
      <c r="AK36" s="25">
        <f t="shared" si="51"/>
        <v>27435.3</v>
      </c>
      <c r="AL36" s="4"/>
      <c r="AM36" s="31">
        <f t="shared" si="52"/>
        <v>2538</v>
      </c>
      <c r="AN36" s="25">
        <f t="shared" si="53"/>
        <v>2629</v>
      </c>
      <c r="AO36" s="25">
        <f t="shared" si="54"/>
        <v>1402</v>
      </c>
      <c r="AP36" s="25">
        <f t="shared" si="55"/>
        <v>1921.9000000000003</v>
      </c>
      <c r="AQ36" s="25">
        <f t="shared" si="56"/>
        <v>2215.2</v>
      </c>
      <c r="AR36" s="148"/>
      <c r="AS36" s="25">
        <f t="shared" si="57"/>
        <v>1682</v>
      </c>
      <c r="AT36" s="25">
        <f t="shared" si="58"/>
        <v>1693</v>
      </c>
      <c r="AU36" s="25">
        <f t="shared" si="59"/>
        <v>252</v>
      </c>
      <c r="AV36" s="25">
        <f t="shared" si="60"/>
        <v>918</v>
      </c>
      <c r="AW36" s="25">
        <f t="shared" si="61"/>
        <v>1021</v>
      </c>
      <c r="AX36" s="3"/>
      <c r="AY36" s="32">
        <f t="shared" si="62"/>
        <v>1.95</v>
      </c>
      <c r="AZ36" s="26">
        <f t="shared" si="63"/>
        <v>1.88</v>
      </c>
      <c r="BA36" s="26">
        <f t="shared" si="64"/>
        <v>-0.66</v>
      </c>
      <c r="BB36" s="26">
        <f t="shared" si="65"/>
        <v>0.87</v>
      </c>
      <c r="BC36" s="26">
        <f t="shared" si="66"/>
        <v>1.16</v>
      </c>
      <c r="BD36" s="148"/>
      <c r="BE36" s="28">
        <f t="shared" si="83"/>
        <v>0.4568306385311044</v>
      </c>
      <c r="BF36" s="28">
        <f t="shared" si="67"/>
        <v>0.4576615532447922</v>
      </c>
      <c r="BG36" s="28">
        <f t="shared" si="68"/>
        <v>0.5111852192578963</v>
      </c>
      <c r="BH36" s="28">
        <f t="shared" si="69"/>
        <v>0.4973372516259919</v>
      </c>
      <c r="BI36" s="28">
        <f t="shared" si="70"/>
        <v>0.48608179972517157</v>
      </c>
      <c r="BJ36" s="3"/>
      <c r="BK36" s="37">
        <f t="shared" si="71"/>
        <v>5.25445232466509</v>
      </c>
      <c r="BL36" s="28">
        <f t="shared" si="72"/>
        <v>5.0725751236211485</v>
      </c>
      <c r="BM36" s="28">
        <f t="shared" si="73"/>
        <v>9.511982881597717</v>
      </c>
      <c r="BN36" s="28">
        <f t="shared" si="74"/>
        <v>6.938862583901346</v>
      </c>
      <c r="BO36" s="28">
        <f t="shared" si="75"/>
        <v>6.020133622246298</v>
      </c>
      <c r="BP36" s="148"/>
      <c r="BQ36" s="28">
        <f t="shared" si="76"/>
        <v>7.9285374554102255</v>
      </c>
      <c r="BR36" s="28">
        <f t="shared" si="77"/>
        <v>7.877023036030714</v>
      </c>
      <c r="BS36" s="28">
        <f t="shared" si="78"/>
        <v>52.919841269841264</v>
      </c>
      <c r="BT36" s="28">
        <f t="shared" si="79"/>
        <v>14.527015250544661</v>
      </c>
      <c r="BU36" s="28">
        <f t="shared" si="80"/>
        <v>13.061508325171399</v>
      </c>
      <c r="BV36" s="3"/>
      <c r="BW36" s="37">
        <f t="shared" si="84"/>
        <v>4.764102564102564</v>
      </c>
      <c r="BX36" s="28">
        <f t="shared" si="85"/>
        <v>4.941489361702128</v>
      </c>
      <c r="BY36" s="28">
        <f t="shared" si="86"/>
        <v>-14.075757575757574</v>
      </c>
      <c r="BZ36" s="28">
        <f t="shared" si="87"/>
        <v>10.678160919540229</v>
      </c>
      <c r="CA36" s="28">
        <f t="shared" si="88"/>
        <v>8.008620689655173</v>
      </c>
      <c r="CB36" s="148"/>
      <c r="CC36" s="38">
        <f t="shared" si="89"/>
        <v>-0.01539629472507087</v>
      </c>
      <c r="CD36" s="39">
        <f t="shared" si="90"/>
        <v>-3.094317593404367</v>
      </c>
      <c r="CE36" s="148"/>
    </row>
    <row r="37" spans="1:83" s="42" customFormat="1" ht="18">
      <c r="A37" s="146"/>
      <c r="B37" s="1" t="s">
        <v>14</v>
      </c>
      <c r="C37" s="26">
        <f t="shared" si="43"/>
        <v>1770</v>
      </c>
      <c r="D37" s="49">
        <f t="shared" si="43"/>
        <v>1533.308</v>
      </c>
      <c r="E37" s="49">
        <f t="shared" si="43"/>
        <v>1057.364</v>
      </c>
      <c r="F37" s="4" t="s">
        <v>56</v>
      </c>
      <c r="G37" s="5">
        <v>37346</v>
      </c>
      <c r="H37" s="257">
        <f t="shared" si="44"/>
        <v>3</v>
      </c>
      <c r="I37" s="25">
        <f t="shared" si="81"/>
        <v>1758.8</v>
      </c>
      <c r="J37" s="25">
        <f t="shared" si="81"/>
        <v>1883.4</v>
      </c>
      <c r="K37" s="25">
        <f t="shared" si="81"/>
        <v>2015</v>
      </c>
      <c r="L37" s="25">
        <f>+L11</f>
        <v>2401.1</v>
      </c>
      <c r="M37" s="9">
        <v>2215.3</v>
      </c>
      <c r="N37" s="9">
        <v>2254.6</v>
      </c>
      <c r="O37" s="31">
        <f t="shared" si="45"/>
        <v>226</v>
      </c>
      <c r="P37" s="25">
        <f t="shared" si="45"/>
        <v>252.4</v>
      </c>
      <c r="Q37" s="25">
        <f t="shared" si="45"/>
        <v>266.6</v>
      </c>
      <c r="R37" s="25">
        <f>+R11</f>
        <v>285.4</v>
      </c>
      <c r="S37" s="9">
        <v>297.3</v>
      </c>
      <c r="T37" s="261">
        <v>314.5</v>
      </c>
      <c r="U37" s="25">
        <f t="shared" si="46"/>
        <v>101.7</v>
      </c>
      <c r="V37" s="25">
        <f t="shared" si="46"/>
        <v>116.7</v>
      </c>
      <c r="W37" s="25">
        <f t="shared" si="46"/>
        <v>123.5</v>
      </c>
      <c r="X37" s="25">
        <f>+X11</f>
        <v>133.3</v>
      </c>
      <c r="Y37" s="9" t="s">
        <v>50</v>
      </c>
      <c r="Z37" s="9" t="s">
        <v>50</v>
      </c>
      <c r="AA37" s="32">
        <f t="shared" si="82"/>
        <v>65.45</v>
      </c>
      <c r="AB37" s="26">
        <f t="shared" si="82"/>
        <v>68.15</v>
      </c>
      <c r="AC37" s="26">
        <f t="shared" si="82"/>
        <v>66.51</v>
      </c>
      <c r="AD37" s="26">
        <f>+AD11</f>
        <v>80.22</v>
      </c>
      <c r="AE37" s="12">
        <v>168.04</v>
      </c>
      <c r="AF37" s="268">
        <v>92.51</v>
      </c>
      <c r="AG37" s="25">
        <f t="shared" si="47"/>
        <v>1852.2500000000002</v>
      </c>
      <c r="AH37" s="25">
        <f t="shared" si="48"/>
        <v>1982.1000000000001</v>
      </c>
      <c r="AI37" s="25">
        <f t="shared" si="49"/>
        <v>2304.575</v>
      </c>
      <c r="AJ37" s="25">
        <f t="shared" si="50"/>
        <v>2261.75</v>
      </c>
      <c r="AK37" s="25">
        <f t="shared" si="51"/>
        <v>2244.7749999999996</v>
      </c>
      <c r="AL37" s="4"/>
      <c r="AM37" s="31">
        <f t="shared" si="52"/>
        <v>245.79999999999998</v>
      </c>
      <c r="AN37" s="25">
        <f t="shared" si="53"/>
        <v>263.05</v>
      </c>
      <c r="AO37" s="25">
        <f t="shared" si="54"/>
        <v>280.7</v>
      </c>
      <c r="AP37" s="25">
        <f t="shared" si="55"/>
        <v>294.32500000000005</v>
      </c>
      <c r="AQ37" s="25">
        <f t="shared" si="56"/>
        <v>310.2</v>
      </c>
      <c r="AR37" s="148"/>
      <c r="AS37" s="25">
        <f t="shared" si="57"/>
        <v>112.94999999999999</v>
      </c>
      <c r="AT37" s="25">
        <f t="shared" si="58"/>
        <v>121.8</v>
      </c>
      <c r="AU37" s="25">
        <f t="shared" si="59"/>
        <v>130.85000000000002</v>
      </c>
      <c r="AV37" s="25" t="str">
        <f t="shared" si="60"/>
        <v>n/a</v>
      </c>
      <c r="AW37" s="25" t="str">
        <f t="shared" si="61"/>
        <v>n/a</v>
      </c>
      <c r="AX37" s="3"/>
      <c r="AY37" s="32">
        <f t="shared" si="62"/>
        <v>67.47500000000001</v>
      </c>
      <c r="AZ37" s="26">
        <f t="shared" si="63"/>
        <v>66.92</v>
      </c>
      <c r="BA37" s="26">
        <f t="shared" si="64"/>
        <v>76.7925</v>
      </c>
      <c r="BB37" s="26">
        <f t="shared" si="65"/>
        <v>146.08499999999998</v>
      </c>
      <c r="BC37" s="26">
        <f t="shared" si="66"/>
        <v>111.39250000000001</v>
      </c>
      <c r="BD37" s="148"/>
      <c r="BE37" s="28">
        <f t="shared" si="83"/>
        <v>0.5708538264273181</v>
      </c>
      <c r="BF37" s="28">
        <f t="shared" si="67"/>
        <v>0.5334564350940921</v>
      </c>
      <c r="BG37" s="28">
        <f t="shared" si="68"/>
        <v>0.45881084364796115</v>
      </c>
      <c r="BH37" s="28">
        <f t="shared" si="69"/>
        <v>0.46749817619100253</v>
      </c>
      <c r="BI37" s="28">
        <f t="shared" si="70"/>
        <v>0.4710333997839428</v>
      </c>
      <c r="BJ37" s="3"/>
      <c r="BK37" s="37">
        <f t="shared" si="71"/>
        <v>4.3017249796582595</v>
      </c>
      <c r="BL37" s="28">
        <f t="shared" si="72"/>
        <v>4.019631248812013</v>
      </c>
      <c r="BM37" s="28">
        <f t="shared" si="73"/>
        <v>3.7668827930174564</v>
      </c>
      <c r="BN37" s="28">
        <f t="shared" si="74"/>
        <v>3.5925048840567397</v>
      </c>
      <c r="BO37" s="28">
        <f t="shared" si="75"/>
        <v>3.408652482269504</v>
      </c>
      <c r="BP37" s="148"/>
      <c r="BQ37" s="28">
        <f t="shared" si="76"/>
        <v>9.36134572819832</v>
      </c>
      <c r="BR37" s="28">
        <f t="shared" si="77"/>
        <v>8.681149425287357</v>
      </c>
      <c r="BS37" s="28">
        <f t="shared" si="78"/>
        <v>8.080733664501336</v>
      </c>
      <c r="BT37" s="28" t="str">
        <f t="shared" si="79"/>
        <v>n/a</v>
      </c>
      <c r="BU37" s="28" t="str">
        <f t="shared" si="80"/>
        <v>n/a</v>
      </c>
      <c r="BV37" s="3"/>
      <c r="BW37" s="37">
        <f t="shared" si="84"/>
        <v>26.23193775472397</v>
      </c>
      <c r="BX37" s="28">
        <f t="shared" si="85"/>
        <v>26.449491930663477</v>
      </c>
      <c r="BY37" s="28">
        <f t="shared" si="86"/>
        <v>23.049125891200312</v>
      </c>
      <c r="BZ37" s="28">
        <f t="shared" si="87"/>
        <v>12.116233699558478</v>
      </c>
      <c r="CA37" s="28">
        <f t="shared" si="88"/>
        <v>15.88975918486433</v>
      </c>
      <c r="CB37" s="148"/>
      <c r="CC37" s="38">
        <f t="shared" si="89"/>
        <v>0.049224210857204076</v>
      </c>
      <c r="CD37" s="39">
        <f t="shared" si="90"/>
        <v>5.3290722792531815</v>
      </c>
      <c r="CE37" s="148"/>
    </row>
    <row r="38" spans="1:83" s="42" customFormat="1" ht="18">
      <c r="A38" s="146"/>
      <c r="B38" s="1" t="s">
        <v>11</v>
      </c>
      <c r="C38" s="26">
        <f t="shared" si="43"/>
        <v>72.83</v>
      </c>
      <c r="D38" s="49">
        <f t="shared" si="43"/>
        <v>5134.5</v>
      </c>
      <c r="E38" s="49">
        <f t="shared" si="43"/>
        <v>7756.5</v>
      </c>
      <c r="F38" s="4" t="s">
        <v>53</v>
      </c>
      <c r="G38" s="5">
        <v>37256</v>
      </c>
      <c r="H38" s="257">
        <f t="shared" si="44"/>
        <v>12</v>
      </c>
      <c r="I38" s="25">
        <f t="shared" si="81"/>
        <v>8005</v>
      </c>
      <c r="J38" s="25">
        <f t="shared" si="81"/>
        <v>8309</v>
      </c>
      <c r="K38" s="25">
        <f t="shared" si="81"/>
        <v>7299</v>
      </c>
      <c r="L38" s="9">
        <v>7085.8</v>
      </c>
      <c r="M38" s="9">
        <v>7411.5</v>
      </c>
      <c r="N38" s="6"/>
      <c r="O38" s="31">
        <f t="shared" si="45"/>
        <v>1124</v>
      </c>
      <c r="P38" s="25">
        <f t="shared" si="45"/>
        <v>1111</v>
      </c>
      <c r="Q38" s="25">
        <f t="shared" si="45"/>
        <v>797</v>
      </c>
      <c r="R38" s="9">
        <v>871</v>
      </c>
      <c r="S38" s="9">
        <v>999</v>
      </c>
      <c r="T38" s="262"/>
      <c r="U38" s="25">
        <f t="shared" si="46"/>
        <v>703</v>
      </c>
      <c r="V38" s="25">
        <f t="shared" si="46"/>
        <v>649</v>
      </c>
      <c r="W38" s="25">
        <f t="shared" si="46"/>
        <v>348</v>
      </c>
      <c r="X38" s="9">
        <v>228</v>
      </c>
      <c r="Y38" s="9">
        <v>259</v>
      </c>
      <c r="Z38" s="6"/>
      <c r="AA38" s="32">
        <f t="shared" si="82"/>
        <v>8.36</v>
      </c>
      <c r="AB38" s="26">
        <f t="shared" si="82"/>
        <v>6.24</v>
      </c>
      <c r="AC38" s="26">
        <f t="shared" si="82"/>
        <v>2.39</v>
      </c>
      <c r="AD38" s="12">
        <v>4.28</v>
      </c>
      <c r="AE38" s="12">
        <v>5.67</v>
      </c>
      <c r="AF38" s="263"/>
      <c r="AG38" s="25">
        <f t="shared" si="47"/>
        <v>8005</v>
      </c>
      <c r="AH38" s="25">
        <f t="shared" si="48"/>
        <v>8309</v>
      </c>
      <c r="AI38" s="25">
        <f t="shared" si="49"/>
        <v>7299</v>
      </c>
      <c r="AJ38" s="25">
        <f t="shared" si="50"/>
        <v>7085.8</v>
      </c>
      <c r="AK38" s="25">
        <f t="shared" si="51"/>
        <v>7411.5</v>
      </c>
      <c r="AL38" s="4"/>
      <c r="AM38" s="31">
        <f t="shared" si="52"/>
        <v>1124</v>
      </c>
      <c r="AN38" s="25">
        <f t="shared" si="53"/>
        <v>1111</v>
      </c>
      <c r="AO38" s="25">
        <f t="shared" si="54"/>
        <v>797</v>
      </c>
      <c r="AP38" s="25">
        <f t="shared" si="55"/>
        <v>871</v>
      </c>
      <c r="AQ38" s="25">
        <f t="shared" si="56"/>
        <v>999</v>
      </c>
      <c r="AR38" s="148"/>
      <c r="AS38" s="25">
        <f t="shared" si="57"/>
        <v>703</v>
      </c>
      <c r="AT38" s="25">
        <f t="shared" si="58"/>
        <v>649</v>
      </c>
      <c r="AU38" s="25">
        <f t="shared" si="59"/>
        <v>348</v>
      </c>
      <c r="AV38" s="25">
        <f t="shared" si="60"/>
        <v>228</v>
      </c>
      <c r="AW38" s="25">
        <f t="shared" si="61"/>
        <v>259</v>
      </c>
      <c r="AX38" s="3"/>
      <c r="AY38" s="32">
        <f t="shared" si="62"/>
        <v>8.36</v>
      </c>
      <c r="AZ38" s="26">
        <f t="shared" si="63"/>
        <v>6.239999999999999</v>
      </c>
      <c r="BA38" s="26">
        <f t="shared" si="64"/>
        <v>2.39</v>
      </c>
      <c r="BB38" s="26">
        <f t="shared" si="65"/>
        <v>4.28</v>
      </c>
      <c r="BC38" s="26">
        <f t="shared" si="66"/>
        <v>5.669999999999999</v>
      </c>
      <c r="BD38" s="148"/>
      <c r="BE38" s="28">
        <f t="shared" si="83"/>
        <v>0.9689569019362898</v>
      </c>
      <c r="BF38" s="28">
        <f t="shared" si="67"/>
        <v>0.933505837044169</v>
      </c>
      <c r="BG38" s="28">
        <f t="shared" si="68"/>
        <v>1.0626798191533087</v>
      </c>
      <c r="BH38" s="28">
        <f t="shared" si="69"/>
        <v>1.0946540969262468</v>
      </c>
      <c r="BI38" s="28">
        <f t="shared" si="70"/>
        <v>1.046549281521959</v>
      </c>
      <c r="BJ38" s="3"/>
      <c r="BK38" s="37">
        <f t="shared" si="71"/>
        <v>6.900800711743773</v>
      </c>
      <c r="BL38" s="28">
        <f t="shared" si="72"/>
        <v>6.981548154815481</v>
      </c>
      <c r="BM38" s="28">
        <f t="shared" si="73"/>
        <v>9.732120451693852</v>
      </c>
      <c r="BN38" s="28">
        <f t="shared" si="74"/>
        <v>8.905281285878301</v>
      </c>
      <c r="BO38" s="28">
        <f t="shared" si="75"/>
        <v>7.7642642642642645</v>
      </c>
      <c r="BP38" s="148"/>
      <c r="BQ38" s="28">
        <f t="shared" si="76"/>
        <v>11.033428165007113</v>
      </c>
      <c r="BR38" s="28">
        <f t="shared" si="77"/>
        <v>11.95146379044684</v>
      </c>
      <c r="BS38" s="28">
        <f t="shared" si="78"/>
        <v>22.288793103448278</v>
      </c>
      <c r="BT38" s="28">
        <f t="shared" si="79"/>
        <v>34.01973684210526</v>
      </c>
      <c r="BU38" s="28">
        <f t="shared" si="80"/>
        <v>29.94787644787645</v>
      </c>
      <c r="BV38" s="3"/>
      <c r="BW38" s="37">
        <f t="shared" si="84"/>
        <v>8.711722488038278</v>
      </c>
      <c r="BX38" s="28">
        <f t="shared" si="85"/>
        <v>11.67147435897436</v>
      </c>
      <c r="BY38" s="28">
        <f t="shared" si="86"/>
        <v>30.472803347280333</v>
      </c>
      <c r="BZ38" s="28">
        <f t="shared" si="87"/>
        <v>17.016355140186914</v>
      </c>
      <c r="CA38" s="28">
        <f t="shared" si="88"/>
        <v>12.844797178130513</v>
      </c>
      <c r="CB38" s="148"/>
      <c r="CC38" s="38">
        <f t="shared" si="89"/>
        <v>-0.019074116853612377</v>
      </c>
      <c r="CD38" s="39">
        <f t="shared" si="90"/>
        <v>-4.567300575380714</v>
      </c>
      <c r="CE38" s="148"/>
    </row>
    <row r="39" spans="1:83" s="42" customFormat="1" ht="18">
      <c r="A39" s="146"/>
      <c r="B39" s="1" t="s">
        <v>10</v>
      </c>
      <c r="C39" s="26">
        <f t="shared" si="43"/>
        <v>23.9</v>
      </c>
      <c r="D39" s="49">
        <f t="shared" si="43"/>
        <v>222.1</v>
      </c>
      <c r="E39" s="49">
        <f t="shared" si="43"/>
        <v>449.29</v>
      </c>
      <c r="F39" s="4" t="s">
        <v>54</v>
      </c>
      <c r="G39" s="5">
        <v>37437</v>
      </c>
      <c r="H39" s="257">
        <f t="shared" si="44"/>
        <v>6</v>
      </c>
      <c r="I39" s="25">
        <f t="shared" si="81"/>
        <v>492.1</v>
      </c>
      <c r="J39" s="25">
        <f t="shared" si="81"/>
        <v>593.2</v>
      </c>
      <c r="K39" s="25">
        <f t="shared" si="81"/>
        <v>797.2</v>
      </c>
      <c r="L39" s="9">
        <v>780</v>
      </c>
      <c r="M39" s="9">
        <v>947</v>
      </c>
      <c r="N39" s="9">
        <v>1035</v>
      </c>
      <c r="O39" s="31">
        <f t="shared" si="45"/>
        <v>46.6</v>
      </c>
      <c r="P39" s="25">
        <f t="shared" si="45"/>
        <v>63.2</v>
      </c>
      <c r="Q39" s="25">
        <f t="shared" si="45"/>
        <v>91.2</v>
      </c>
      <c r="R39" s="9">
        <v>92</v>
      </c>
      <c r="S39" s="9">
        <v>109</v>
      </c>
      <c r="T39" s="261">
        <v>123</v>
      </c>
      <c r="U39" s="25">
        <f t="shared" si="46"/>
        <v>25.6</v>
      </c>
      <c r="V39" s="25">
        <f t="shared" si="46"/>
        <v>39.3</v>
      </c>
      <c r="W39" s="25">
        <f t="shared" si="46"/>
        <v>57</v>
      </c>
      <c r="X39" s="9">
        <v>58.8</v>
      </c>
      <c r="Y39" s="9">
        <v>66.6</v>
      </c>
      <c r="Z39" s="9">
        <v>71.7</v>
      </c>
      <c r="AA39" s="32">
        <f t="shared" si="82"/>
        <v>0.32</v>
      </c>
      <c r="AB39" s="26">
        <f t="shared" si="82"/>
        <v>1.51</v>
      </c>
      <c r="AC39" s="26">
        <f t="shared" si="82"/>
        <v>2.23</v>
      </c>
      <c r="AD39" s="12">
        <v>2.28</v>
      </c>
      <c r="AE39" s="12">
        <v>2.86</v>
      </c>
      <c r="AF39" s="268">
        <v>3.53</v>
      </c>
      <c r="AG39" s="25">
        <f t="shared" si="47"/>
        <v>542.6500000000001</v>
      </c>
      <c r="AH39" s="25">
        <f t="shared" si="48"/>
        <v>695.2</v>
      </c>
      <c r="AI39" s="25">
        <f t="shared" si="49"/>
        <v>788.6000000000001</v>
      </c>
      <c r="AJ39" s="25">
        <f t="shared" si="50"/>
        <v>863.5</v>
      </c>
      <c r="AK39" s="25">
        <f t="shared" si="51"/>
        <v>991</v>
      </c>
      <c r="AL39" s="4"/>
      <c r="AM39" s="31">
        <f t="shared" si="52"/>
        <v>54.900000000000006</v>
      </c>
      <c r="AN39" s="25">
        <f t="shared" si="53"/>
        <v>77.2</v>
      </c>
      <c r="AO39" s="25">
        <f t="shared" si="54"/>
        <v>91.6</v>
      </c>
      <c r="AP39" s="25">
        <f t="shared" si="55"/>
        <v>100.5</v>
      </c>
      <c r="AQ39" s="25">
        <f t="shared" si="56"/>
        <v>116</v>
      </c>
      <c r="AR39" s="148"/>
      <c r="AS39" s="25">
        <f t="shared" si="57"/>
        <v>32.45</v>
      </c>
      <c r="AT39" s="25">
        <f t="shared" si="58"/>
        <v>48.15</v>
      </c>
      <c r="AU39" s="25">
        <f t="shared" si="59"/>
        <v>57.89999999999999</v>
      </c>
      <c r="AV39" s="25">
        <f t="shared" si="60"/>
        <v>62.69999999999999</v>
      </c>
      <c r="AW39" s="25">
        <f t="shared" si="61"/>
        <v>69.15</v>
      </c>
      <c r="AX39" s="3"/>
      <c r="AY39" s="32">
        <f t="shared" si="62"/>
        <v>0.915</v>
      </c>
      <c r="AZ39" s="26">
        <f t="shared" si="63"/>
        <v>1.87</v>
      </c>
      <c r="BA39" s="26">
        <f t="shared" si="64"/>
        <v>2.255</v>
      </c>
      <c r="BB39" s="26">
        <f t="shared" si="65"/>
        <v>2.57</v>
      </c>
      <c r="BC39" s="26">
        <f t="shared" si="66"/>
        <v>3.195</v>
      </c>
      <c r="BD39" s="148"/>
      <c r="BE39" s="28">
        <f t="shared" si="83"/>
        <v>0.8279554040357504</v>
      </c>
      <c r="BF39" s="28">
        <f t="shared" si="67"/>
        <v>0.6462744533947066</v>
      </c>
      <c r="BG39" s="28">
        <f t="shared" si="68"/>
        <v>0.5697311691605376</v>
      </c>
      <c r="BH39" s="28">
        <f t="shared" si="69"/>
        <v>0.5203126809496237</v>
      </c>
      <c r="BI39" s="28">
        <f t="shared" si="70"/>
        <v>0.45337033299697277</v>
      </c>
      <c r="BJ39" s="3"/>
      <c r="BK39" s="37">
        <f t="shared" si="71"/>
        <v>8.183788706739525</v>
      </c>
      <c r="BL39" s="28">
        <f t="shared" si="72"/>
        <v>5.819818652849741</v>
      </c>
      <c r="BM39" s="28">
        <f t="shared" si="73"/>
        <v>4.904912663755459</v>
      </c>
      <c r="BN39" s="28">
        <f t="shared" si="74"/>
        <v>4.470547263681592</v>
      </c>
      <c r="BO39" s="28">
        <f t="shared" si="75"/>
        <v>3.873189655172414</v>
      </c>
      <c r="BP39" s="148"/>
      <c r="BQ39" s="28">
        <f t="shared" si="76"/>
        <v>13.845608628659475</v>
      </c>
      <c r="BR39" s="28">
        <f t="shared" si="77"/>
        <v>9.331048805815161</v>
      </c>
      <c r="BS39" s="28">
        <f t="shared" si="78"/>
        <v>7.759758203799656</v>
      </c>
      <c r="BT39" s="28">
        <f t="shared" si="79"/>
        <v>7.1657097288676255</v>
      </c>
      <c r="BU39" s="28">
        <f t="shared" si="80"/>
        <v>6.4973246565437455</v>
      </c>
      <c r="BV39" s="3"/>
      <c r="BW39" s="37">
        <f t="shared" si="84"/>
        <v>26.12021857923497</v>
      </c>
      <c r="BX39" s="28">
        <f t="shared" si="85"/>
        <v>12.780748663101603</v>
      </c>
      <c r="BY39" s="28">
        <f t="shared" si="86"/>
        <v>10.598669623059866</v>
      </c>
      <c r="BZ39" s="28">
        <f t="shared" si="87"/>
        <v>9.299610894941635</v>
      </c>
      <c r="CA39" s="28">
        <f t="shared" si="88"/>
        <v>7.480438184663536</v>
      </c>
      <c r="CB39" s="148"/>
      <c r="CC39" s="38">
        <f t="shared" si="89"/>
        <v>0.16248795526053428</v>
      </c>
      <c r="CD39" s="39">
        <f t="shared" si="90"/>
        <v>1.6075172179595487</v>
      </c>
      <c r="CE39" s="148"/>
    </row>
    <row r="40" spans="1:83" s="42" customFormat="1" ht="18">
      <c r="A40" s="146"/>
      <c r="B40" s="1" t="s">
        <v>9</v>
      </c>
      <c r="C40" s="26">
        <f t="shared" si="43"/>
        <v>46.6</v>
      </c>
      <c r="D40" s="49">
        <f t="shared" si="43"/>
        <v>1126.2</v>
      </c>
      <c r="E40" s="49">
        <f t="shared" si="43"/>
        <v>2978.000000000001</v>
      </c>
      <c r="F40" s="4" t="s">
        <v>54</v>
      </c>
      <c r="G40" s="5">
        <v>37256</v>
      </c>
      <c r="H40" s="257">
        <f t="shared" si="44"/>
        <v>12</v>
      </c>
      <c r="I40" s="25">
        <f t="shared" si="81"/>
        <v>4261.9</v>
      </c>
      <c r="J40" s="25">
        <f t="shared" si="81"/>
        <v>5839.6</v>
      </c>
      <c r="K40" s="25">
        <f t="shared" si="81"/>
        <v>9610.7</v>
      </c>
      <c r="L40" s="9">
        <v>9671.8</v>
      </c>
      <c r="M40" s="9">
        <v>10286.8</v>
      </c>
      <c r="N40" s="6"/>
      <c r="O40" s="31">
        <f t="shared" si="45"/>
        <v>349.2</v>
      </c>
      <c r="P40" s="25">
        <f t="shared" si="45"/>
        <v>379.5</v>
      </c>
      <c r="Q40" s="25">
        <f t="shared" si="45"/>
        <v>551.8</v>
      </c>
      <c r="R40" s="9">
        <v>551.4</v>
      </c>
      <c r="S40" s="9">
        <v>648.1</v>
      </c>
      <c r="T40" s="262"/>
      <c r="U40" s="25">
        <f t="shared" si="46"/>
        <v>155.3</v>
      </c>
      <c r="V40" s="25">
        <f t="shared" si="46"/>
        <v>127.1</v>
      </c>
      <c r="W40" s="25">
        <f t="shared" si="46"/>
        <v>166.6</v>
      </c>
      <c r="X40" s="9">
        <v>236.8</v>
      </c>
      <c r="Y40" s="9">
        <v>318.5</v>
      </c>
      <c r="Z40" s="6"/>
      <c r="AA40" s="32">
        <f t="shared" si="82"/>
        <v>3.99</v>
      </c>
      <c r="AB40" s="26">
        <f t="shared" si="82"/>
        <v>-2.74</v>
      </c>
      <c r="AC40" s="26">
        <f t="shared" si="82"/>
        <v>-2.85</v>
      </c>
      <c r="AD40" s="12">
        <v>-0.09</v>
      </c>
      <c r="AE40" s="12">
        <v>1.94</v>
      </c>
      <c r="AF40" s="263"/>
      <c r="AG40" s="25">
        <f t="shared" si="47"/>
        <v>4261.9</v>
      </c>
      <c r="AH40" s="25">
        <f t="shared" si="48"/>
        <v>5839.600000000001</v>
      </c>
      <c r="AI40" s="25">
        <f t="shared" si="49"/>
        <v>9610.7</v>
      </c>
      <c r="AJ40" s="25">
        <f t="shared" si="50"/>
        <v>9671.8</v>
      </c>
      <c r="AK40" s="25">
        <f t="shared" si="51"/>
        <v>10286.8</v>
      </c>
      <c r="AL40" s="3"/>
      <c r="AM40" s="31">
        <f t="shared" si="52"/>
        <v>349.2</v>
      </c>
      <c r="AN40" s="25">
        <f t="shared" si="53"/>
        <v>379.5</v>
      </c>
      <c r="AO40" s="25">
        <f t="shared" si="54"/>
        <v>551.8</v>
      </c>
      <c r="AP40" s="25">
        <f t="shared" si="55"/>
        <v>551.4</v>
      </c>
      <c r="AQ40" s="25">
        <f t="shared" si="56"/>
        <v>648.1</v>
      </c>
      <c r="AR40" s="148"/>
      <c r="AS40" s="25">
        <f t="shared" si="57"/>
        <v>155.3</v>
      </c>
      <c r="AT40" s="25">
        <f t="shared" si="58"/>
        <v>127.09999999999998</v>
      </c>
      <c r="AU40" s="25">
        <f t="shared" si="59"/>
        <v>166.6</v>
      </c>
      <c r="AV40" s="25">
        <f t="shared" si="60"/>
        <v>236.80000000000004</v>
      </c>
      <c r="AW40" s="25">
        <f t="shared" si="61"/>
        <v>318.5</v>
      </c>
      <c r="AX40" s="3"/>
      <c r="AY40" s="32">
        <f t="shared" si="62"/>
        <v>3.99</v>
      </c>
      <c r="AZ40" s="26">
        <f t="shared" si="63"/>
        <v>-2.74</v>
      </c>
      <c r="BA40" s="26">
        <f t="shared" si="64"/>
        <v>-2.85</v>
      </c>
      <c r="BB40" s="26">
        <f t="shared" si="65"/>
        <v>-0.09000000000000001</v>
      </c>
      <c r="BC40" s="26">
        <f t="shared" si="66"/>
        <v>1.9400000000000002</v>
      </c>
      <c r="BD40" s="148"/>
      <c r="BE40" s="28">
        <f t="shared" si="83"/>
        <v>0.6987493840775244</v>
      </c>
      <c r="BF40" s="28">
        <f t="shared" si="67"/>
        <v>0.5099664360572642</v>
      </c>
      <c r="BG40" s="28">
        <f t="shared" si="68"/>
        <v>0.30986296523666335</v>
      </c>
      <c r="BH40" s="28">
        <f t="shared" si="69"/>
        <v>0.3079054571020907</v>
      </c>
      <c r="BI40" s="28">
        <f t="shared" si="70"/>
        <v>0.28949721973791664</v>
      </c>
      <c r="BJ40" s="3"/>
      <c r="BK40" s="37">
        <f t="shared" si="71"/>
        <v>8.528064146620851</v>
      </c>
      <c r="BL40" s="28">
        <f t="shared" si="72"/>
        <v>7.847167325428197</v>
      </c>
      <c r="BM40" s="28">
        <f t="shared" si="73"/>
        <v>5.39688292859732</v>
      </c>
      <c r="BN40" s="28">
        <f t="shared" si="74"/>
        <v>5.400797968806676</v>
      </c>
      <c r="BO40" s="28">
        <f t="shared" si="75"/>
        <v>4.594969912050611</v>
      </c>
      <c r="BP40" s="148"/>
      <c r="BQ40" s="28">
        <f t="shared" si="76"/>
        <v>19.175788795878947</v>
      </c>
      <c r="BR40" s="28">
        <f t="shared" si="77"/>
        <v>23.430369787568853</v>
      </c>
      <c r="BS40" s="28">
        <f t="shared" si="78"/>
        <v>17.875150060024016</v>
      </c>
      <c r="BT40" s="28">
        <f t="shared" si="79"/>
        <v>12.576013513513516</v>
      </c>
      <c r="BU40" s="28">
        <f t="shared" si="80"/>
        <v>9.350078492935639</v>
      </c>
      <c r="BV40" s="3"/>
      <c r="BW40" s="37">
        <f t="shared" si="84"/>
        <v>11.679197994987469</v>
      </c>
      <c r="BX40" s="28">
        <f t="shared" si="85"/>
        <v>-17.00729927007299</v>
      </c>
      <c r="BY40" s="28">
        <f t="shared" si="86"/>
        <v>-16.350877192982455</v>
      </c>
      <c r="BZ40" s="28">
        <f t="shared" si="87"/>
        <v>-517.7777777777777</v>
      </c>
      <c r="CA40" s="28">
        <f t="shared" si="88"/>
        <v>24.02061855670103</v>
      </c>
      <c r="CB40" s="148"/>
      <c r="CC40" s="38">
        <f t="shared" si="89"/>
        <v>0.24643392284859322</v>
      </c>
      <c r="CD40" s="39">
        <f t="shared" si="90"/>
        <v>0.4739281775814226</v>
      </c>
      <c r="CE40" s="148"/>
    </row>
    <row r="41" spans="1:83" s="42" customFormat="1" ht="18">
      <c r="A41" s="146"/>
      <c r="B41" s="1" t="s">
        <v>8</v>
      </c>
      <c r="C41" s="26">
        <f t="shared" si="43"/>
        <v>14.11</v>
      </c>
      <c r="D41" s="49">
        <f t="shared" si="43"/>
        <v>148.1</v>
      </c>
      <c r="E41" s="49">
        <f t="shared" si="43"/>
        <v>306.5999999999999</v>
      </c>
      <c r="F41" s="4" t="s">
        <v>54</v>
      </c>
      <c r="G41" s="5">
        <v>37256</v>
      </c>
      <c r="H41" s="257">
        <f t="shared" si="44"/>
        <v>12</v>
      </c>
      <c r="I41" s="25">
        <f t="shared" si="81"/>
        <v>563.8</v>
      </c>
      <c r="J41" s="25">
        <f t="shared" si="81"/>
        <v>670.6</v>
      </c>
      <c r="K41" s="25">
        <f t="shared" si="81"/>
        <v>720.9</v>
      </c>
      <c r="L41" s="9" t="s">
        <v>50</v>
      </c>
      <c r="M41" s="9" t="s">
        <v>50</v>
      </c>
      <c r="N41" s="6"/>
      <c r="O41" s="31">
        <f t="shared" si="45"/>
        <v>24.2</v>
      </c>
      <c r="P41" s="25">
        <f t="shared" si="45"/>
        <v>56.4</v>
      </c>
      <c r="Q41" s="25">
        <f t="shared" si="45"/>
        <v>73.2</v>
      </c>
      <c r="R41" s="9" t="s">
        <v>50</v>
      </c>
      <c r="S41" s="9" t="s">
        <v>50</v>
      </c>
      <c r="T41" s="262"/>
      <c r="U41" s="25">
        <f t="shared" si="46"/>
        <v>-3.3</v>
      </c>
      <c r="V41" s="25">
        <f t="shared" si="46"/>
        <v>25.9</v>
      </c>
      <c r="W41" s="25">
        <f t="shared" si="46"/>
        <v>42.4</v>
      </c>
      <c r="X41" s="9" t="s">
        <v>50</v>
      </c>
      <c r="Y41" s="9" t="s">
        <v>50</v>
      </c>
      <c r="Z41" s="6"/>
      <c r="AA41" s="32">
        <f t="shared" si="82"/>
        <v>-4.45</v>
      </c>
      <c r="AB41" s="26">
        <f t="shared" si="82"/>
        <v>1.25</v>
      </c>
      <c r="AC41" s="26">
        <f t="shared" si="82"/>
        <v>2.24</v>
      </c>
      <c r="AD41" s="12" t="s">
        <v>50</v>
      </c>
      <c r="AE41" s="12" t="s">
        <v>50</v>
      </c>
      <c r="AF41" s="263"/>
      <c r="AG41" s="25">
        <f t="shared" si="47"/>
        <v>563.8</v>
      </c>
      <c r="AH41" s="25">
        <f t="shared" si="48"/>
        <v>670.6</v>
      </c>
      <c r="AI41" s="25">
        <f t="shared" si="49"/>
        <v>720.9</v>
      </c>
      <c r="AJ41" s="25" t="str">
        <f t="shared" si="50"/>
        <v>n/a</v>
      </c>
      <c r="AK41" s="25" t="str">
        <f t="shared" si="51"/>
        <v>n/a</v>
      </c>
      <c r="AL41" s="3"/>
      <c r="AM41" s="31">
        <f t="shared" si="52"/>
        <v>24.2</v>
      </c>
      <c r="AN41" s="25">
        <f t="shared" si="53"/>
        <v>56.4</v>
      </c>
      <c r="AO41" s="25">
        <f t="shared" si="54"/>
        <v>73.2</v>
      </c>
      <c r="AP41" s="25" t="str">
        <f t="shared" si="55"/>
        <v>n/a</v>
      </c>
      <c r="AQ41" s="25" t="str">
        <f t="shared" si="56"/>
        <v>n/a</v>
      </c>
      <c r="AR41" s="148"/>
      <c r="AS41" s="25">
        <f t="shared" si="57"/>
        <v>-3.2999999999999994</v>
      </c>
      <c r="AT41" s="25">
        <f t="shared" si="58"/>
        <v>25.899999999999995</v>
      </c>
      <c r="AU41" s="25">
        <f t="shared" si="59"/>
        <v>42.4</v>
      </c>
      <c r="AV41" s="25" t="str">
        <f t="shared" si="60"/>
        <v>n/a</v>
      </c>
      <c r="AW41" s="25" t="str">
        <f t="shared" si="61"/>
        <v>n/a</v>
      </c>
      <c r="AX41" s="3"/>
      <c r="AY41" s="32">
        <f t="shared" si="62"/>
        <v>-4.45</v>
      </c>
      <c r="AZ41" s="26">
        <f t="shared" si="63"/>
        <v>1.25</v>
      </c>
      <c r="BA41" s="26">
        <f t="shared" si="64"/>
        <v>2.24</v>
      </c>
      <c r="BB41" s="26" t="str">
        <f t="shared" si="65"/>
        <v>n/a</v>
      </c>
      <c r="BC41" s="26" t="str">
        <f t="shared" si="66"/>
        <v>n/a</v>
      </c>
      <c r="BD41" s="148"/>
      <c r="BE41" s="28">
        <f t="shared" si="83"/>
        <v>0.5438098616530683</v>
      </c>
      <c r="BF41" s="28">
        <f t="shared" si="67"/>
        <v>0.4572025052192065</v>
      </c>
      <c r="BG41" s="28">
        <f t="shared" si="68"/>
        <v>0.4253017062005825</v>
      </c>
      <c r="BH41" s="28" t="str">
        <f t="shared" si="69"/>
        <v>n/a</v>
      </c>
      <c r="BI41" s="28" t="str">
        <f t="shared" si="70"/>
        <v>n/a</v>
      </c>
      <c r="BJ41" s="3"/>
      <c r="BK41" s="37">
        <f t="shared" si="71"/>
        <v>12.669421487603302</v>
      </c>
      <c r="BL41" s="28">
        <f t="shared" si="72"/>
        <v>5.436170212765956</v>
      </c>
      <c r="BM41" s="28">
        <f t="shared" si="73"/>
        <v>4.188524590163933</v>
      </c>
      <c r="BN41" s="28" t="str">
        <f t="shared" si="74"/>
        <v>n/a</v>
      </c>
      <c r="BO41" s="28" t="str">
        <f t="shared" si="75"/>
        <v>n/a</v>
      </c>
      <c r="BP41" s="148"/>
      <c r="BQ41" s="28">
        <f t="shared" si="76"/>
        <v>-92.90909090909089</v>
      </c>
      <c r="BR41" s="28">
        <f t="shared" si="77"/>
        <v>11.837837837837837</v>
      </c>
      <c r="BS41" s="28">
        <f t="shared" si="78"/>
        <v>7.231132075471696</v>
      </c>
      <c r="BT41" s="28" t="str">
        <f t="shared" si="79"/>
        <v>n/a</v>
      </c>
      <c r="BU41" s="28" t="str">
        <f t="shared" si="80"/>
        <v>n/a</v>
      </c>
      <c r="BV41" s="3"/>
      <c r="BW41" s="37">
        <f t="shared" si="84"/>
        <v>-3.170786516853932</v>
      </c>
      <c r="BX41" s="28">
        <f t="shared" si="85"/>
        <v>11.288</v>
      </c>
      <c r="BY41" s="28">
        <f t="shared" si="86"/>
        <v>6.299107142857142</v>
      </c>
      <c r="BZ41" s="28" t="str">
        <f t="shared" si="87"/>
        <v>n/a</v>
      </c>
      <c r="CA41" s="28" t="str">
        <f t="shared" si="88"/>
        <v>n/a</v>
      </c>
      <c r="CB41" s="148"/>
      <c r="CC41" s="38" t="str">
        <f t="shared" si="89"/>
        <v>n/a</v>
      </c>
      <c r="CD41" s="39" t="str">
        <f t="shared" si="90"/>
        <v>n/a</v>
      </c>
      <c r="CE41" s="148"/>
    </row>
    <row r="42" spans="1:83" s="42" customFormat="1" ht="18">
      <c r="A42" s="146"/>
      <c r="B42" s="1" t="s">
        <v>7</v>
      </c>
      <c r="C42" s="26">
        <f t="shared" si="43"/>
        <v>9.22</v>
      </c>
      <c r="D42" s="49">
        <f t="shared" si="43"/>
        <v>258.2</v>
      </c>
      <c r="E42" s="49">
        <f t="shared" si="43"/>
        <v>773.6999999999999</v>
      </c>
      <c r="F42" s="4" t="s">
        <v>54</v>
      </c>
      <c r="G42" s="5">
        <v>37256</v>
      </c>
      <c r="H42" s="257">
        <f t="shared" si="44"/>
        <v>12</v>
      </c>
      <c r="I42" s="25">
        <f t="shared" si="81"/>
        <v>1527.1</v>
      </c>
      <c r="J42" s="25">
        <f t="shared" si="81"/>
        <v>1776.2</v>
      </c>
      <c r="K42" s="25">
        <f t="shared" si="81"/>
        <v>1825.5</v>
      </c>
      <c r="L42" s="9">
        <v>1835</v>
      </c>
      <c r="M42" s="9">
        <v>1880</v>
      </c>
      <c r="N42" s="6"/>
      <c r="O42" s="31">
        <f t="shared" si="45"/>
        <v>178.2</v>
      </c>
      <c r="P42" s="25">
        <f t="shared" si="45"/>
        <v>186.2</v>
      </c>
      <c r="Q42" s="25">
        <f t="shared" si="45"/>
        <v>232.3</v>
      </c>
      <c r="R42" s="9">
        <v>225</v>
      </c>
      <c r="S42" s="9">
        <v>238.6</v>
      </c>
      <c r="T42" s="262"/>
      <c r="U42" s="25">
        <f t="shared" si="46"/>
        <v>63</v>
      </c>
      <c r="V42" s="25">
        <f t="shared" si="46"/>
        <v>56.7</v>
      </c>
      <c r="W42" s="25">
        <f t="shared" si="46"/>
        <v>84.4</v>
      </c>
      <c r="X42" s="9">
        <f>+(77.86+86.64)*0.5</f>
        <v>82.25</v>
      </c>
      <c r="Y42" s="9">
        <f>+(86.7+92.72)*0.5</f>
        <v>89.71000000000001</v>
      </c>
      <c r="Z42" s="6"/>
      <c r="AA42" s="32">
        <f t="shared" si="82"/>
        <v>0.99</v>
      </c>
      <c r="AB42" s="26">
        <f t="shared" si="82"/>
        <v>1.61</v>
      </c>
      <c r="AC42" s="26">
        <f t="shared" si="82"/>
        <v>1.18</v>
      </c>
      <c r="AD42" s="12">
        <v>0.94</v>
      </c>
      <c r="AE42" s="12">
        <v>1.32</v>
      </c>
      <c r="AF42" s="263"/>
      <c r="AG42" s="25">
        <f t="shared" si="47"/>
        <v>1527.0999999999997</v>
      </c>
      <c r="AH42" s="25">
        <f t="shared" si="48"/>
        <v>1776.2</v>
      </c>
      <c r="AI42" s="25">
        <f t="shared" si="49"/>
        <v>1825.5</v>
      </c>
      <c r="AJ42" s="25">
        <f t="shared" si="50"/>
        <v>1835</v>
      </c>
      <c r="AK42" s="25">
        <f t="shared" si="51"/>
        <v>1880</v>
      </c>
      <c r="AL42" s="3"/>
      <c r="AM42" s="31">
        <f t="shared" si="52"/>
        <v>178.19999999999996</v>
      </c>
      <c r="AN42" s="25">
        <f t="shared" si="53"/>
        <v>186.19999999999996</v>
      </c>
      <c r="AO42" s="25">
        <f t="shared" si="54"/>
        <v>232.30000000000004</v>
      </c>
      <c r="AP42" s="25">
        <f t="shared" si="55"/>
        <v>225</v>
      </c>
      <c r="AQ42" s="25">
        <f t="shared" si="56"/>
        <v>238.6</v>
      </c>
      <c r="AR42" s="148"/>
      <c r="AS42" s="25">
        <f t="shared" si="57"/>
        <v>63</v>
      </c>
      <c r="AT42" s="25">
        <f t="shared" si="58"/>
        <v>56.70000000000001</v>
      </c>
      <c r="AU42" s="25">
        <f t="shared" si="59"/>
        <v>84.4</v>
      </c>
      <c r="AV42" s="25">
        <f t="shared" si="60"/>
        <v>82.25</v>
      </c>
      <c r="AW42" s="25">
        <f t="shared" si="61"/>
        <v>89.71</v>
      </c>
      <c r="AX42" s="3"/>
      <c r="AY42" s="32">
        <f t="shared" si="62"/>
        <v>0.9899999999999999</v>
      </c>
      <c r="AZ42" s="26">
        <f t="shared" si="63"/>
        <v>1.61</v>
      </c>
      <c r="BA42" s="26">
        <f t="shared" si="64"/>
        <v>1.18</v>
      </c>
      <c r="BB42" s="26">
        <f t="shared" si="65"/>
        <v>0.94</v>
      </c>
      <c r="BC42" s="26">
        <f t="shared" si="66"/>
        <v>1.32</v>
      </c>
      <c r="BD42" s="148"/>
      <c r="BE42" s="28">
        <f t="shared" si="83"/>
        <v>0.5066465850304499</v>
      </c>
      <c r="BF42" s="28">
        <f t="shared" si="67"/>
        <v>0.43559283864429676</v>
      </c>
      <c r="BG42" s="28">
        <f t="shared" si="68"/>
        <v>0.42382908792111745</v>
      </c>
      <c r="BH42" s="28">
        <f t="shared" si="69"/>
        <v>0.42163487738419614</v>
      </c>
      <c r="BI42" s="28">
        <f t="shared" si="70"/>
        <v>0.4115425531914893</v>
      </c>
      <c r="BJ42" s="3"/>
      <c r="BK42" s="37">
        <f t="shared" si="71"/>
        <v>4.341750841750843</v>
      </c>
      <c r="BL42" s="28">
        <f t="shared" si="72"/>
        <v>4.155209452201934</v>
      </c>
      <c r="BM42" s="28">
        <f t="shared" si="73"/>
        <v>3.3306069737408515</v>
      </c>
      <c r="BN42" s="28">
        <f t="shared" si="74"/>
        <v>3.4386666666666663</v>
      </c>
      <c r="BO42" s="28">
        <f t="shared" si="75"/>
        <v>3.2426655490360434</v>
      </c>
      <c r="BP42" s="148"/>
      <c r="BQ42" s="28">
        <f t="shared" si="76"/>
        <v>12.28095238095238</v>
      </c>
      <c r="BR42" s="28">
        <f t="shared" si="77"/>
        <v>13.645502645502642</v>
      </c>
      <c r="BS42" s="28">
        <f t="shared" si="78"/>
        <v>9.167061611374406</v>
      </c>
      <c r="BT42" s="28">
        <f t="shared" si="79"/>
        <v>9.406686930091185</v>
      </c>
      <c r="BU42" s="28">
        <f t="shared" si="80"/>
        <v>8.62445658232081</v>
      </c>
      <c r="BV42" s="3"/>
      <c r="BW42" s="37">
        <f t="shared" si="84"/>
        <v>9.313131313131315</v>
      </c>
      <c r="BX42" s="28">
        <f t="shared" si="85"/>
        <v>5.726708074534161</v>
      </c>
      <c r="BY42" s="28">
        <f t="shared" si="86"/>
        <v>7.8135593220339</v>
      </c>
      <c r="BZ42" s="28">
        <f t="shared" si="87"/>
        <v>9.808510638297873</v>
      </c>
      <c r="CA42" s="28">
        <f t="shared" si="88"/>
        <v>6.984848484848485</v>
      </c>
      <c r="CB42" s="148"/>
      <c r="CC42" s="38">
        <f t="shared" si="89"/>
        <v>0.05334974153519467</v>
      </c>
      <c r="CD42" s="39">
        <f t="shared" si="90"/>
        <v>1.7456750576734226</v>
      </c>
      <c r="CE42" s="148"/>
    </row>
    <row r="43" spans="1:83" s="42" customFormat="1" ht="18">
      <c r="A43" s="146"/>
      <c r="B43" s="1" t="s">
        <v>6</v>
      </c>
      <c r="C43" s="26">
        <f t="shared" si="43"/>
        <v>47.05</v>
      </c>
      <c r="D43" s="49">
        <f t="shared" si="43"/>
        <v>3091.2</v>
      </c>
      <c r="E43" s="49">
        <f t="shared" si="43"/>
        <v>5276.2</v>
      </c>
      <c r="F43" s="4" t="s">
        <v>53</v>
      </c>
      <c r="G43" s="5">
        <v>37256</v>
      </c>
      <c r="H43" s="257">
        <f t="shared" si="44"/>
        <v>12</v>
      </c>
      <c r="I43" s="25">
        <f t="shared" si="81"/>
        <v>12428.8</v>
      </c>
      <c r="J43" s="25">
        <f t="shared" si="81"/>
        <v>14072.8</v>
      </c>
      <c r="K43" s="25">
        <f t="shared" si="81"/>
        <v>13624.7</v>
      </c>
      <c r="L43" s="9">
        <v>14258.7</v>
      </c>
      <c r="M43" s="9">
        <v>15037.9</v>
      </c>
      <c r="N43" s="6"/>
      <c r="O43" s="31">
        <f t="shared" si="45"/>
        <v>1049.8</v>
      </c>
      <c r="P43" s="25">
        <f t="shared" si="45"/>
        <v>1227.6</v>
      </c>
      <c r="Q43" s="25">
        <f t="shared" si="45"/>
        <v>822.6</v>
      </c>
      <c r="R43" s="9">
        <v>995.3</v>
      </c>
      <c r="S43" s="9">
        <v>1067</v>
      </c>
      <c r="T43" s="262"/>
      <c r="U43" s="25">
        <f t="shared" si="46"/>
        <v>708.9</v>
      </c>
      <c r="V43" s="25">
        <f t="shared" si="46"/>
        <v>835.4</v>
      </c>
      <c r="W43" s="25">
        <f t="shared" si="46"/>
        <v>430.4</v>
      </c>
      <c r="X43" s="9">
        <v>736.1</v>
      </c>
      <c r="Y43" s="9">
        <v>737</v>
      </c>
      <c r="Z43" s="6"/>
      <c r="AA43" s="32">
        <f t="shared" si="82"/>
        <v>3.8</v>
      </c>
      <c r="AB43" s="26">
        <f t="shared" si="82"/>
        <v>4.17</v>
      </c>
      <c r="AC43" s="26">
        <f t="shared" si="82"/>
        <v>0.4</v>
      </c>
      <c r="AD43" s="12">
        <v>4.46</v>
      </c>
      <c r="AE43" s="12">
        <v>5.17</v>
      </c>
      <c r="AF43" s="263"/>
      <c r="AG43" s="25">
        <f t="shared" si="47"/>
        <v>12428.799999999997</v>
      </c>
      <c r="AH43" s="25">
        <f t="shared" si="48"/>
        <v>14072.799999999997</v>
      </c>
      <c r="AI43" s="25">
        <f t="shared" si="49"/>
        <v>13624.700000000003</v>
      </c>
      <c r="AJ43" s="25">
        <f t="shared" si="50"/>
        <v>14258.700000000003</v>
      </c>
      <c r="AK43" s="25">
        <f t="shared" si="51"/>
        <v>15037.9</v>
      </c>
      <c r="AL43" s="3"/>
      <c r="AM43" s="31">
        <f t="shared" si="52"/>
        <v>1049.8</v>
      </c>
      <c r="AN43" s="25">
        <f t="shared" si="53"/>
        <v>1227.6</v>
      </c>
      <c r="AO43" s="25">
        <f t="shared" si="54"/>
        <v>822.6</v>
      </c>
      <c r="AP43" s="25">
        <f t="shared" si="55"/>
        <v>995.2999999999998</v>
      </c>
      <c r="AQ43" s="25">
        <f t="shared" si="56"/>
        <v>1067</v>
      </c>
      <c r="AR43" s="148"/>
      <c r="AS43" s="25">
        <f t="shared" si="57"/>
        <v>708.9</v>
      </c>
      <c r="AT43" s="25">
        <f t="shared" si="58"/>
        <v>835.4</v>
      </c>
      <c r="AU43" s="25">
        <f t="shared" si="59"/>
        <v>430.3999999999999</v>
      </c>
      <c r="AV43" s="25">
        <f t="shared" si="60"/>
        <v>736.1</v>
      </c>
      <c r="AW43" s="25">
        <f t="shared" si="61"/>
        <v>737</v>
      </c>
      <c r="AX43" s="3"/>
      <c r="AY43" s="32">
        <f t="shared" si="62"/>
        <v>3.7999999999999994</v>
      </c>
      <c r="AZ43" s="26">
        <f t="shared" si="63"/>
        <v>4.17</v>
      </c>
      <c r="BA43" s="26">
        <f t="shared" si="64"/>
        <v>0.4000000000000001</v>
      </c>
      <c r="BB43" s="26">
        <f t="shared" si="65"/>
        <v>4.46</v>
      </c>
      <c r="BC43" s="26">
        <f t="shared" si="66"/>
        <v>5.17</v>
      </c>
      <c r="BD43" s="148"/>
      <c r="BE43" s="28">
        <f t="shared" si="83"/>
        <v>0.4245140319258497</v>
      </c>
      <c r="BF43" s="28">
        <f t="shared" si="67"/>
        <v>0.3749218350292764</v>
      </c>
      <c r="BG43" s="28">
        <f t="shared" si="68"/>
        <v>0.38725256335919317</v>
      </c>
      <c r="BH43" s="28">
        <f t="shared" si="69"/>
        <v>0.37003373379059795</v>
      </c>
      <c r="BI43" s="28">
        <f t="shared" si="70"/>
        <v>0.3508601599957441</v>
      </c>
      <c r="BJ43" s="3"/>
      <c r="BK43" s="37">
        <f t="shared" si="71"/>
        <v>5.025909697085159</v>
      </c>
      <c r="BL43" s="28">
        <f t="shared" si="72"/>
        <v>4.2979797979797985</v>
      </c>
      <c r="BM43" s="28">
        <f t="shared" si="73"/>
        <v>6.4140530026744464</v>
      </c>
      <c r="BN43" s="28">
        <f t="shared" si="74"/>
        <v>5.301115241635689</v>
      </c>
      <c r="BO43" s="28">
        <f t="shared" si="75"/>
        <v>4.944892221180881</v>
      </c>
      <c r="BP43" s="148"/>
      <c r="BQ43" s="28">
        <f t="shared" si="76"/>
        <v>7.442798702214699</v>
      </c>
      <c r="BR43" s="28">
        <f t="shared" si="77"/>
        <v>6.315776873354082</v>
      </c>
      <c r="BS43" s="28">
        <f t="shared" si="78"/>
        <v>12.25882899628253</v>
      </c>
      <c r="BT43" s="28">
        <f t="shared" si="79"/>
        <v>7.1677761173753565</v>
      </c>
      <c r="BU43" s="28">
        <f t="shared" si="80"/>
        <v>7.159023066485752</v>
      </c>
      <c r="BV43" s="3"/>
      <c r="BW43" s="37">
        <f t="shared" si="84"/>
        <v>12.381578947368423</v>
      </c>
      <c r="BX43" s="28">
        <f t="shared" si="85"/>
        <v>11.282973621103118</v>
      </c>
      <c r="BY43" s="28">
        <f t="shared" si="86"/>
        <v>117.62499999999997</v>
      </c>
      <c r="BZ43" s="28">
        <f t="shared" si="87"/>
        <v>10.54932735426009</v>
      </c>
      <c r="CA43" s="28">
        <f t="shared" si="88"/>
        <v>9.100580270793037</v>
      </c>
      <c r="CB43" s="148"/>
      <c r="CC43" s="38">
        <f t="shared" si="89"/>
        <v>0.048792319405909224</v>
      </c>
      <c r="CD43" s="39">
        <f t="shared" si="90"/>
        <v>2.5376081928724408</v>
      </c>
      <c r="CE43" s="148"/>
    </row>
    <row r="44" spans="1:83" s="42" customFormat="1" ht="18">
      <c r="A44" s="146"/>
      <c r="B44" s="1" t="s">
        <v>5</v>
      </c>
      <c r="C44" s="26">
        <f t="shared" si="43"/>
        <v>97.2</v>
      </c>
      <c r="D44" s="49">
        <f t="shared" si="43"/>
        <v>8783.6</v>
      </c>
      <c r="E44" s="49">
        <f t="shared" si="43"/>
        <v>9125.6</v>
      </c>
      <c r="F44" s="4" t="s">
        <v>108</v>
      </c>
      <c r="G44" s="5">
        <v>37256</v>
      </c>
      <c r="H44" s="257">
        <f t="shared" si="44"/>
        <v>12</v>
      </c>
      <c r="I44" s="25">
        <f t="shared" si="81"/>
        <v>14030.68</v>
      </c>
      <c r="J44" s="25">
        <f t="shared" si="81"/>
        <v>15613.91</v>
      </c>
      <c r="K44" s="25">
        <f t="shared" si="81"/>
        <v>17074.86</v>
      </c>
      <c r="L44" s="9">
        <f>1.49762087490407*12236</f>
        <v>18324.8890253262</v>
      </c>
      <c r="M44" s="9">
        <f>1.49762087490407*14038.6</f>
        <v>21024.50041442828</v>
      </c>
      <c r="N44" s="6"/>
      <c r="O44" s="31">
        <f t="shared" si="45"/>
        <v>1494.1</v>
      </c>
      <c r="P44" s="25">
        <f t="shared" si="45"/>
        <v>1755.5</v>
      </c>
      <c r="Q44" s="25">
        <f t="shared" si="45"/>
        <v>1946.6</v>
      </c>
      <c r="R44" s="9">
        <f>1.49762087490407*1382.2</f>
        <v>2070.0115732924055</v>
      </c>
      <c r="S44" s="9">
        <f>1.49762087490407*1678.667</f>
        <v>2514.0067412125904</v>
      </c>
      <c r="T44" s="262"/>
      <c r="U44" s="25">
        <f t="shared" si="46"/>
        <v>989.14</v>
      </c>
      <c r="V44" s="25">
        <f t="shared" si="46"/>
        <v>1203.01</v>
      </c>
      <c r="W44" s="25">
        <f t="shared" si="46"/>
        <v>1328.7</v>
      </c>
      <c r="X44" s="9">
        <f>1.49762087490407*963</f>
        <v>1442.2089025326195</v>
      </c>
      <c r="Y44" s="9">
        <f>1.49762087490407*1138</f>
        <v>1704.2925556408318</v>
      </c>
      <c r="Z44" s="6"/>
      <c r="AA44" s="32">
        <f t="shared" si="82"/>
        <v>6.88</v>
      </c>
      <c r="AB44" s="26">
        <f t="shared" si="82"/>
        <v>9.56</v>
      </c>
      <c r="AC44" s="26">
        <f t="shared" si="82"/>
        <v>9.6</v>
      </c>
      <c r="AD44" s="12">
        <f>1.49762087490407*6.081</f>
        <v>9.10703254029165</v>
      </c>
      <c r="AE44" s="12">
        <f>1.49762087490407*6.7175</f>
        <v>10.060268227168091</v>
      </c>
      <c r="AF44" s="263"/>
      <c r="AG44" s="25">
        <f t="shared" si="47"/>
        <v>14030.68</v>
      </c>
      <c r="AH44" s="25">
        <f t="shared" si="48"/>
        <v>15613.909999999998</v>
      </c>
      <c r="AI44" s="25">
        <f t="shared" si="49"/>
        <v>17074.86</v>
      </c>
      <c r="AJ44" s="25">
        <f t="shared" si="50"/>
        <v>18324.8890253262</v>
      </c>
      <c r="AK44" s="25">
        <f t="shared" si="51"/>
        <v>21024.50041442828</v>
      </c>
      <c r="AL44" s="3"/>
      <c r="AM44" s="31">
        <f t="shared" si="52"/>
        <v>1494.0999999999997</v>
      </c>
      <c r="AN44" s="25">
        <f t="shared" si="53"/>
        <v>1755.5</v>
      </c>
      <c r="AO44" s="25">
        <f t="shared" si="54"/>
        <v>1946.5999999999997</v>
      </c>
      <c r="AP44" s="25">
        <f t="shared" si="55"/>
        <v>2070.0115732924055</v>
      </c>
      <c r="AQ44" s="25">
        <f t="shared" si="56"/>
        <v>2514.0067412125904</v>
      </c>
      <c r="AR44" s="148"/>
      <c r="AS44" s="25">
        <f t="shared" si="57"/>
        <v>989.14</v>
      </c>
      <c r="AT44" s="25">
        <f t="shared" si="58"/>
        <v>1203.01</v>
      </c>
      <c r="AU44" s="25">
        <f t="shared" si="59"/>
        <v>1328.7</v>
      </c>
      <c r="AV44" s="25">
        <f t="shared" si="60"/>
        <v>1442.2089025326195</v>
      </c>
      <c r="AW44" s="25">
        <f t="shared" si="61"/>
        <v>1704.2925556408318</v>
      </c>
      <c r="AX44" s="3"/>
      <c r="AY44" s="32">
        <f t="shared" si="62"/>
        <v>6.88</v>
      </c>
      <c r="AZ44" s="26">
        <f t="shared" si="63"/>
        <v>9.56</v>
      </c>
      <c r="BA44" s="26">
        <f t="shared" si="64"/>
        <v>9.6</v>
      </c>
      <c r="BB44" s="26">
        <f t="shared" si="65"/>
        <v>9.10703254029165</v>
      </c>
      <c r="BC44" s="26">
        <f t="shared" si="66"/>
        <v>10.060268227168091</v>
      </c>
      <c r="BD44" s="148"/>
      <c r="BE44" s="28">
        <f t="shared" si="83"/>
        <v>0.650403259143534</v>
      </c>
      <c r="BF44" s="28">
        <f t="shared" si="67"/>
        <v>0.5844532215185051</v>
      </c>
      <c r="BG44" s="28">
        <f t="shared" si="68"/>
        <v>0.53444654890289</v>
      </c>
      <c r="BH44" s="28">
        <f t="shared" si="69"/>
        <v>0.4979893732173669</v>
      </c>
      <c r="BI44" s="28">
        <f t="shared" si="70"/>
        <v>0.4340459854036514</v>
      </c>
      <c r="BJ44" s="3"/>
      <c r="BK44" s="37">
        <f t="shared" si="71"/>
        <v>6.10775717823439</v>
      </c>
      <c r="BL44" s="28">
        <f t="shared" si="72"/>
        <v>5.198291085160923</v>
      </c>
      <c r="BM44" s="28">
        <f t="shared" si="73"/>
        <v>4.687968766053633</v>
      </c>
      <c r="BN44" s="28">
        <f t="shared" si="74"/>
        <v>4.408477767824991</v>
      </c>
      <c r="BO44" s="28">
        <f t="shared" si="75"/>
        <v>3.62990275658466</v>
      </c>
      <c r="BP44" s="148"/>
      <c r="BQ44" s="28">
        <f t="shared" si="76"/>
        <v>9.225792102230221</v>
      </c>
      <c r="BR44" s="28">
        <f t="shared" si="77"/>
        <v>7.585639354618832</v>
      </c>
      <c r="BS44" s="28">
        <f t="shared" si="78"/>
        <v>6.868066531195906</v>
      </c>
      <c r="BT44" s="28">
        <f t="shared" si="79"/>
        <v>6.327516065096263</v>
      </c>
      <c r="BU44" s="28">
        <f t="shared" si="80"/>
        <v>5.354479763345958</v>
      </c>
      <c r="BV44" s="3"/>
      <c r="BW44" s="37">
        <f t="shared" si="84"/>
        <v>14.127906976744187</v>
      </c>
      <c r="BX44" s="28">
        <f t="shared" si="85"/>
        <v>10.167364016736402</v>
      </c>
      <c r="BY44" s="28">
        <f t="shared" si="86"/>
        <v>10.125</v>
      </c>
      <c r="BZ44" s="28">
        <f t="shared" si="87"/>
        <v>10.67307046175188</v>
      </c>
      <c r="CA44" s="28">
        <f t="shared" si="88"/>
        <v>9.661770223731029</v>
      </c>
      <c r="CB44" s="148"/>
      <c r="CC44" s="38">
        <f t="shared" si="89"/>
        <v>0.10639891520080136</v>
      </c>
      <c r="CD44" s="39">
        <f t="shared" si="90"/>
        <v>1.3278243438931019</v>
      </c>
      <c r="CE44" s="148"/>
    </row>
    <row r="45" spans="1:83" s="42" customFormat="1" ht="18">
      <c r="A45" s="146"/>
      <c r="B45" s="1" t="s">
        <v>4</v>
      </c>
      <c r="C45" s="26">
        <f t="shared" si="43"/>
        <v>38.6</v>
      </c>
      <c r="D45" s="49">
        <f t="shared" si="43"/>
        <v>5249.9</v>
      </c>
      <c r="E45" s="49">
        <f t="shared" si="43"/>
        <v>12758.819999999998</v>
      </c>
      <c r="F45" s="4" t="s">
        <v>54</v>
      </c>
      <c r="G45" s="5">
        <v>37256</v>
      </c>
      <c r="H45" s="257">
        <f t="shared" si="44"/>
        <v>12</v>
      </c>
      <c r="I45" s="25">
        <f t="shared" si="81"/>
        <v>13763.1</v>
      </c>
      <c r="J45" s="25">
        <f t="shared" si="81"/>
        <v>15395.6</v>
      </c>
      <c r="K45" s="25">
        <f t="shared" si="81"/>
        <v>15774.6</v>
      </c>
      <c r="L45" s="9">
        <v>15867.5</v>
      </c>
      <c r="M45" s="9">
        <v>16394.4</v>
      </c>
      <c r="N45" s="6"/>
      <c r="O45" s="31">
        <f t="shared" si="45"/>
        <v>2072.3</v>
      </c>
      <c r="P45" s="25">
        <f t="shared" si="45"/>
        <v>2117.8</v>
      </c>
      <c r="Q45" s="25">
        <f t="shared" si="45"/>
        <v>2004.3</v>
      </c>
      <c r="R45" s="9">
        <v>2075.2</v>
      </c>
      <c r="S45" s="9">
        <v>2271.7</v>
      </c>
      <c r="T45" s="262"/>
      <c r="U45" s="25">
        <f t="shared" si="46"/>
        <v>1154.9</v>
      </c>
      <c r="V45" s="25">
        <f t="shared" si="46"/>
        <v>1120.3</v>
      </c>
      <c r="W45" s="25">
        <f t="shared" si="46"/>
        <v>1006.2</v>
      </c>
      <c r="X45" s="9">
        <v>1130.3</v>
      </c>
      <c r="Y45" s="9">
        <v>1304.3</v>
      </c>
      <c r="Z45" s="6"/>
      <c r="AA45" s="32">
        <f t="shared" si="82"/>
        <v>1.16</v>
      </c>
      <c r="AB45" s="26">
        <f t="shared" si="82"/>
        <v>3.04</v>
      </c>
      <c r="AC45" s="26">
        <f t="shared" si="82"/>
        <v>2.26</v>
      </c>
      <c r="AD45" s="12">
        <v>3.48</v>
      </c>
      <c r="AE45" s="12">
        <v>4.5</v>
      </c>
      <c r="AF45" s="263"/>
      <c r="AG45" s="25">
        <f t="shared" si="47"/>
        <v>13763.1</v>
      </c>
      <c r="AH45" s="25">
        <f t="shared" si="48"/>
        <v>15395.6</v>
      </c>
      <c r="AI45" s="25">
        <f t="shared" si="49"/>
        <v>15774.6</v>
      </c>
      <c r="AJ45" s="25">
        <f t="shared" si="50"/>
        <v>15867.5</v>
      </c>
      <c r="AK45" s="25">
        <f t="shared" si="51"/>
        <v>16394.4</v>
      </c>
      <c r="AL45" s="3"/>
      <c r="AM45" s="31">
        <f t="shared" si="52"/>
        <v>2072.3</v>
      </c>
      <c r="AN45" s="25">
        <f t="shared" si="53"/>
        <v>2117.8</v>
      </c>
      <c r="AO45" s="25">
        <f t="shared" si="54"/>
        <v>2004.3</v>
      </c>
      <c r="AP45" s="25">
        <f t="shared" si="55"/>
        <v>2075.2</v>
      </c>
      <c r="AQ45" s="25">
        <f t="shared" si="56"/>
        <v>2271.7</v>
      </c>
      <c r="AR45" s="148"/>
      <c r="AS45" s="25">
        <f t="shared" si="57"/>
        <v>1154.9</v>
      </c>
      <c r="AT45" s="25">
        <f t="shared" si="58"/>
        <v>1120.3</v>
      </c>
      <c r="AU45" s="25">
        <f t="shared" si="59"/>
        <v>1006.2000000000002</v>
      </c>
      <c r="AV45" s="25">
        <f t="shared" si="60"/>
        <v>1130.3</v>
      </c>
      <c r="AW45" s="25">
        <f t="shared" si="61"/>
        <v>1304.3</v>
      </c>
      <c r="AX45" s="3"/>
      <c r="AY45" s="32">
        <f t="shared" si="62"/>
        <v>1.16</v>
      </c>
      <c r="AZ45" s="26">
        <f t="shared" si="63"/>
        <v>3.0400000000000005</v>
      </c>
      <c r="BA45" s="26">
        <f t="shared" si="64"/>
        <v>2.26</v>
      </c>
      <c r="BB45" s="26">
        <f t="shared" si="65"/>
        <v>3.48</v>
      </c>
      <c r="BC45" s="26">
        <f t="shared" si="66"/>
        <v>4.5</v>
      </c>
      <c r="BD45" s="148"/>
      <c r="BE45" s="28">
        <f t="shared" si="83"/>
        <v>0.9270309741264684</v>
      </c>
      <c r="BF45" s="28">
        <f t="shared" si="67"/>
        <v>0.8287315856478473</v>
      </c>
      <c r="BG45" s="28">
        <f t="shared" si="68"/>
        <v>0.8088205089194019</v>
      </c>
      <c r="BH45" s="28">
        <f t="shared" si="69"/>
        <v>0.8040850795651487</v>
      </c>
      <c r="BI45" s="28">
        <f t="shared" si="70"/>
        <v>0.7782425706338748</v>
      </c>
      <c r="BJ45" s="3"/>
      <c r="BK45" s="37">
        <f t="shared" si="71"/>
        <v>6.156840225836026</v>
      </c>
      <c r="BL45" s="28">
        <f t="shared" si="72"/>
        <v>6.024563225989232</v>
      </c>
      <c r="BM45" s="28">
        <f t="shared" si="73"/>
        <v>6.365723694057775</v>
      </c>
      <c r="BN45" s="28">
        <f t="shared" si="74"/>
        <v>6.148236314572089</v>
      </c>
      <c r="BO45" s="28">
        <f t="shared" si="75"/>
        <v>5.616419421578553</v>
      </c>
      <c r="BP45" s="148"/>
      <c r="BQ45" s="28">
        <f t="shared" si="76"/>
        <v>11.047553900770627</v>
      </c>
      <c r="BR45" s="28">
        <f t="shared" si="77"/>
        <v>11.388753012585912</v>
      </c>
      <c r="BS45" s="28">
        <f t="shared" si="78"/>
        <v>12.680202742993437</v>
      </c>
      <c r="BT45" s="28">
        <f t="shared" si="79"/>
        <v>11.287994337786428</v>
      </c>
      <c r="BU45" s="28">
        <f t="shared" si="80"/>
        <v>9.782120677758183</v>
      </c>
      <c r="BV45" s="3"/>
      <c r="BW45" s="37">
        <f t="shared" si="84"/>
        <v>33.27586206896552</v>
      </c>
      <c r="BX45" s="28">
        <f t="shared" si="85"/>
        <v>12.69736842105263</v>
      </c>
      <c r="BY45" s="28">
        <f t="shared" si="86"/>
        <v>17.07964601769912</v>
      </c>
      <c r="BZ45" s="28">
        <f t="shared" si="87"/>
        <v>11.091954022988507</v>
      </c>
      <c r="CA45" s="28">
        <f t="shared" si="88"/>
        <v>8.577777777777778</v>
      </c>
      <c r="CB45" s="148"/>
      <c r="CC45" s="38">
        <f t="shared" si="89"/>
        <v>0.044707747479417304</v>
      </c>
      <c r="CD45" s="39">
        <f t="shared" si="90"/>
        <v>7.442974416075239</v>
      </c>
      <c r="CE45" s="148"/>
    </row>
    <row r="46" spans="1:83" s="42" customFormat="1" ht="18">
      <c r="A46" s="146"/>
      <c r="B46" s="1" t="s">
        <v>3</v>
      </c>
      <c r="C46" s="26">
        <f t="shared" si="43"/>
        <v>55.93</v>
      </c>
      <c r="D46" s="49">
        <f t="shared" si="43"/>
        <v>7193.7</v>
      </c>
      <c r="E46" s="49">
        <f t="shared" si="43"/>
        <v>9078.7</v>
      </c>
      <c r="F46" s="4" t="s">
        <v>53</v>
      </c>
      <c r="G46" s="5">
        <v>37256</v>
      </c>
      <c r="H46" s="257">
        <f t="shared" si="44"/>
        <v>12</v>
      </c>
      <c r="I46" s="25">
        <f t="shared" si="81"/>
        <v>46969</v>
      </c>
      <c r="J46" s="25">
        <f t="shared" si="81"/>
        <v>17231</v>
      </c>
      <c r="K46" s="25">
        <f t="shared" si="81"/>
        <v>16383</v>
      </c>
      <c r="L46" s="9">
        <v>16258</v>
      </c>
      <c r="M46" s="9">
        <v>17176</v>
      </c>
      <c r="N46" s="6"/>
      <c r="O46" s="31">
        <f t="shared" si="45"/>
        <v>1986</v>
      </c>
      <c r="P46" s="25">
        <f t="shared" si="45"/>
        <v>1805</v>
      </c>
      <c r="Q46" s="25">
        <f t="shared" si="45"/>
        <v>1360</v>
      </c>
      <c r="R46" s="9" t="s">
        <v>50</v>
      </c>
      <c r="S46" s="9" t="s">
        <v>50</v>
      </c>
      <c r="T46" s="262"/>
      <c r="U46" s="25">
        <f t="shared" si="46"/>
        <v>1136</v>
      </c>
      <c r="V46" s="25">
        <f t="shared" si="46"/>
        <v>1011</v>
      </c>
      <c r="W46" s="25">
        <f t="shared" si="46"/>
        <v>605</v>
      </c>
      <c r="X46" s="9" t="s">
        <v>50</v>
      </c>
      <c r="Y46" s="9" t="s">
        <v>50</v>
      </c>
      <c r="Z46" s="6"/>
      <c r="AA46" s="32">
        <f t="shared" si="82"/>
        <v>3.8</v>
      </c>
      <c r="AB46" s="26">
        <f t="shared" si="82"/>
        <v>3.51</v>
      </c>
      <c r="AC46" s="26">
        <f t="shared" si="82"/>
        <v>0.54</v>
      </c>
      <c r="AD46" s="12">
        <v>3.5</v>
      </c>
      <c r="AE46" s="12">
        <v>4.06</v>
      </c>
      <c r="AF46" s="263"/>
      <c r="AG46" s="25">
        <f t="shared" si="47"/>
        <v>46969</v>
      </c>
      <c r="AH46" s="25">
        <f t="shared" si="48"/>
        <v>17231</v>
      </c>
      <c r="AI46" s="25">
        <f t="shared" si="49"/>
        <v>16383</v>
      </c>
      <c r="AJ46" s="25">
        <f t="shared" si="50"/>
        <v>16258</v>
      </c>
      <c r="AK46" s="25">
        <f t="shared" si="51"/>
        <v>17176</v>
      </c>
      <c r="AL46" s="3"/>
      <c r="AM46" s="31">
        <f t="shared" si="52"/>
        <v>1986</v>
      </c>
      <c r="AN46" s="25">
        <f t="shared" si="53"/>
        <v>1805</v>
      </c>
      <c r="AO46" s="25">
        <f t="shared" si="54"/>
        <v>1360</v>
      </c>
      <c r="AP46" s="25" t="str">
        <f t="shared" si="55"/>
        <v>n/a</v>
      </c>
      <c r="AQ46" s="25" t="str">
        <f t="shared" si="56"/>
        <v>n/a</v>
      </c>
      <c r="AR46" s="148"/>
      <c r="AS46" s="25">
        <f t="shared" si="57"/>
        <v>1136</v>
      </c>
      <c r="AT46" s="25">
        <f t="shared" si="58"/>
        <v>1011</v>
      </c>
      <c r="AU46" s="25">
        <f t="shared" si="59"/>
        <v>605</v>
      </c>
      <c r="AV46" s="25" t="str">
        <f t="shared" si="60"/>
        <v>n/a</v>
      </c>
      <c r="AW46" s="25" t="str">
        <f t="shared" si="61"/>
        <v>n/a</v>
      </c>
      <c r="AX46" s="3"/>
      <c r="AY46" s="32">
        <f t="shared" si="62"/>
        <v>3.7999999999999994</v>
      </c>
      <c r="AZ46" s="26">
        <f t="shared" si="63"/>
        <v>3.51</v>
      </c>
      <c r="BA46" s="26">
        <f t="shared" si="64"/>
        <v>0.54</v>
      </c>
      <c r="BB46" s="26">
        <f t="shared" si="65"/>
        <v>3.5</v>
      </c>
      <c r="BC46" s="26">
        <f t="shared" si="66"/>
        <v>4.06</v>
      </c>
      <c r="BD46" s="148"/>
      <c r="BE46" s="28">
        <f t="shared" si="83"/>
        <v>0.19329131980668102</v>
      </c>
      <c r="BF46" s="28">
        <f t="shared" si="67"/>
        <v>0.5268817828332657</v>
      </c>
      <c r="BG46" s="28">
        <f t="shared" si="68"/>
        <v>0.5541536959042911</v>
      </c>
      <c r="BH46" s="28">
        <f t="shared" si="69"/>
        <v>0.558414319104441</v>
      </c>
      <c r="BI46" s="28">
        <f t="shared" si="70"/>
        <v>0.5285689333954355</v>
      </c>
      <c r="BJ46" s="3"/>
      <c r="BK46" s="37">
        <f t="shared" si="71"/>
        <v>4.57134944612286</v>
      </c>
      <c r="BL46" s="28">
        <f t="shared" si="72"/>
        <v>5.029750692520776</v>
      </c>
      <c r="BM46" s="28">
        <f t="shared" si="73"/>
        <v>6.675514705882353</v>
      </c>
      <c r="BN46" s="28" t="str">
        <f t="shared" si="74"/>
        <v>n/a</v>
      </c>
      <c r="BO46" s="28" t="str">
        <f t="shared" si="75"/>
        <v>n/a</v>
      </c>
      <c r="BP46" s="148"/>
      <c r="BQ46" s="28">
        <f t="shared" si="76"/>
        <v>7.991813380281691</v>
      </c>
      <c r="BR46" s="28">
        <f t="shared" si="77"/>
        <v>8.979920870425323</v>
      </c>
      <c r="BS46" s="28">
        <f t="shared" si="78"/>
        <v>15.00611570247934</v>
      </c>
      <c r="BT46" s="28" t="str">
        <f t="shared" si="79"/>
        <v>n/a</v>
      </c>
      <c r="BU46" s="28" t="str">
        <f t="shared" si="80"/>
        <v>n/a</v>
      </c>
      <c r="BV46" s="3"/>
      <c r="BW46" s="37">
        <f t="shared" si="84"/>
        <v>14.718421052631582</v>
      </c>
      <c r="BX46" s="28">
        <f t="shared" si="85"/>
        <v>15.934472934472936</v>
      </c>
      <c r="BY46" s="28">
        <f t="shared" si="86"/>
        <v>103.57407407407406</v>
      </c>
      <c r="BZ46" s="28">
        <f t="shared" si="87"/>
        <v>15.98</v>
      </c>
      <c r="CA46" s="28">
        <f t="shared" si="88"/>
        <v>13.775862068965518</v>
      </c>
      <c r="CB46" s="148"/>
      <c r="CC46" s="38">
        <f t="shared" si="89"/>
        <v>-0.22236163337895765</v>
      </c>
      <c r="CD46" s="39">
        <f t="shared" si="90"/>
        <v>-0.661913695675542</v>
      </c>
      <c r="CE46" s="148"/>
    </row>
    <row r="47" spans="1:83" s="42" customFormat="1" ht="18">
      <c r="A47" s="146"/>
      <c r="B47" s="1" t="s">
        <v>2</v>
      </c>
      <c r="C47" s="26">
        <f aca="true" t="shared" si="91" ref="C47:E49">+C21</f>
        <v>39.6</v>
      </c>
      <c r="D47" s="49">
        <f t="shared" si="91"/>
        <v>3300</v>
      </c>
      <c r="E47" s="49">
        <f t="shared" si="91"/>
        <v>4344</v>
      </c>
      <c r="F47" s="4" t="s">
        <v>54</v>
      </c>
      <c r="G47" s="5">
        <v>37256</v>
      </c>
      <c r="H47" s="257">
        <f t="shared" si="44"/>
        <v>12</v>
      </c>
      <c r="I47" s="25">
        <f t="shared" si="81"/>
        <v>7717</v>
      </c>
      <c r="J47" s="25">
        <f t="shared" si="81"/>
        <v>9120</v>
      </c>
      <c r="K47" s="25">
        <f t="shared" si="81"/>
        <v>10234</v>
      </c>
      <c r="L47" s="9">
        <v>9859.1</v>
      </c>
      <c r="M47" s="9">
        <v>10332.8</v>
      </c>
      <c r="N47" s="6"/>
      <c r="O47" s="31">
        <f t="shared" si="45"/>
        <v>895</v>
      </c>
      <c r="P47" s="25">
        <f t="shared" si="45"/>
        <v>953</v>
      </c>
      <c r="Q47" s="25">
        <f t="shared" si="45"/>
        <v>938</v>
      </c>
      <c r="R47" s="9">
        <v>1027.5</v>
      </c>
      <c r="S47" s="9">
        <v>1131.8</v>
      </c>
      <c r="T47" s="262"/>
      <c r="U47" s="25">
        <f t="shared" si="46"/>
        <v>404</v>
      </c>
      <c r="V47" s="25">
        <f t="shared" si="46"/>
        <v>486</v>
      </c>
      <c r="W47" s="25">
        <f t="shared" si="46"/>
        <v>268</v>
      </c>
      <c r="X47" s="9">
        <v>465.7</v>
      </c>
      <c r="Y47" s="9">
        <v>570.8</v>
      </c>
      <c r="Z47" s="6"/>
      <c r="AA47" s="32">
        <f t="shared" si="82"/>
        <v>6.81</v>
      </c>
      <c r="AB47" s="26">
        <f t="shared" si="82"/>
        <v>4.44</v>
      </c>
      <c r="AC47" s="26">
        <f t="shared" si="82"/>
        <v>-7.12</v>
      </c>
      <c r="AD47" s="12">
        <v>2.23</v>
      </c>
      <c r="AE47" s="12">
        <v>3.1</v>
      </c>
      <c r="AF47" s="263"/>
      <c r="AG47" s="25">
        <f t="shared" si="47"/>
        <v>7717</v>
      </c>
      <c r="AH47" s="25">
        <f t="shared" si="48"/>
        <v>9120</v>
      </c>
      <c r="AI47" s="25">
        <f t="shared" si="49"/>
        <v>10234</v>
      </c>
      <c r="AJ47" s="25">
        <f t="shared" si="50"/>
        <v>9859.1</v>
      </c>
      <c r="AK47" s="25">
        <f t="shared" si="51"/>
        <v>10332.8</v>
      </c>
      <c r="AL47" s="3"/>
      <c r="AM47" s="31">
        <f t="shared" si="52"/>
        <v>895</v>
      </c>
      <c r="AN47" s="25">
        <f t="shared" si="53"/>
        <v>953</v>
      </c>
      <c r="AO47" s="25">
        <f t="shared" si="54"/>
        <v>938</v>
      </c>
      <c r="AP47" s="25">
        <f t="shared" si="55"/>
        <v>1027.5</v>
      </c>
      <c r="AQ47" s="25">
        <f t="shared" si="56"/>
        <v>1131.8</v>
      </c>
      <c r="AR47" s="148"/>
      <c r="AS47" s="25">
        <f t="shared" si="57"/>
        <v>404</v>
      </c>
      <c r="AT47" s="25">
        <f t="shared" si="58"/>
        <v>486</v>
      </c>
      <c r="AU47" s="25">
        <f t="shared" si="59"/>
        <v>268</v>
      </c>
      <c r="AV47" s="25">
        <f t="shared" si="60"/>
        <v>465.7</v>
      </c>
      <c r="AW47" s="25">
        <f t="shared" si="61"/>
        <v>570.8</v>
      </c>
      <c r="AX47" s="3"/>
      <c r="AY47" s="32">
        <f t="shared" si="62"/>
        <v>6.81</v>
      </c>
      <c r="AZ47" s="26">
        <f t="shared" si="63"/>
        <v>4.44</v>
      </c>
      <c r="BA47" s="26">
        <f t="shared" si="64"/>
        <v>-7.12</v>
      </c>
      <c r="BB47" s="26">
        <f t="shared" si="65"/>
        <v>2.23</v>
      </c>
      <c r="BC47" s="26">
        <f t="shared" si="66"/>
        <v>3.1</v>
      </c>
      <c r="BD47" s="148"/>
      <c r="BE47" s="28">
        <f t="shared" si="83"/>
        <v>0.5629130491123494</v>
      </c>
      <c r="BF47" s="28">
        <f t="shared" si="67"/>
        <v>0.4763157894736842</v>
      </c>
      <c r="BG47" s="28">
        <f t="shared" si="68"/>
        <v>0.42446746140316594</v>
      </c>
      <c r="BH47" s="28">
        <f t="shared" si="69"/>
        <v>0.44060816910265643</v>
      </c>
      <c r="BI47" s="28">
        <f t="shared" si="70"/>
        <v>0.4204087952926603</v>
      </c>
      <c r="BJ47" s="3"/>
      <c r="BK47" s="37">
        <f t="shared" si="71"/>
        <v>4.853631284916201</v>
      </c>
      <c r="BL47" s="28">
        <f t="shared" si="72"/>
        <v>4.558237145855194</v>
      </c>
      <c r="BM47" s="28">
        <f t="shared" si="73"/>
        <v>4.631130063965885</v>
      </c>
      <c r="BN47" s="28">
        <f t="shared" si="74"/>
        <v>4.227737226277372</v>
      </c>
      <c r="BO47" s="28">
        <f t="shared" si="75"/>
        <v>3.838133945926842</v>
      </c>
      <c r="BP47" s="148"/>
      <c r="BQ47" s="28">
        <f t="shared" si="76"/>
        <v>10.752475247524753</v>
      </c>
      <c r="BR47" s="28">
        <f t="shared" si="77"/>
        <v>8.938271604938272</v>
      </c>
      <c r="BS47" s="28">
        <f t="shared" si="78"/>
        <v>16.208955223880597</v>
      </c>
      <c r="BT47" s="28">
        <f t="shared" si="79"/>
        <v>9.32789349366545</v>
      </c>
      <c r="BU47" s="28">
        <f t="shared" si="80"/>
        <v>7.610371408549405</v>
      </c>
      <c r="BV47" s="3"/>
      <c r="BW47" s="37">
        <f t="shared" si="84"/>
        <v>5.814977973568283</v>
      </c>
      <c r="BX47" s="28">
        <f t="shared" si="85"/>
        <v>8.91891891891892</v>
      </c>
      <c r="BY47" s="28">
        <f t="shared" si="86"/>
        <v>-5.561797752808989</v>
      </c>
      <c r="BZ47" s="28">
        <f t="shared" si="87"/>
        <v>17.757847533632287</v>
      </c>
      <c r="CA47" s="28">
        <f t="shared" si="88"/>
        <v>12.774193548387096</v>
      </c>
      <c r="CB47" s="148"/>
      <c r="CC47" s="38">
        <f t="shared" si="89"/>
        <v>0.0757030023590124</v>
      </c>
      <c r="CD47" s="39">
        <f t="shared" si="90"/>
        <v>0.7681304297538225</v>
      </c>
      <c r="CE47" s="148"/>
    </row>
    <row r="48" spans="1:83" s="42" customFormat="1" ht="18">
      <c r="A48" s="146"/>
      <c r="B48" s="1" t="s">
        <v>1</v>
      </c>
      <c r="C48" s="26">
        <f t="shared" si="91"/>
        <v>11.26</v>
      </c>
      <c r="D48" s="49">
        <f t="shared" si="91"/>
        <v>1471.9</v>
      </c>
      <c r="E48" s="49">
        <f t="shared" si="91"/>
        <v>4093.8999999999996</v>
      </c>
      <c r="F48" s="4" t="s">
        <v>53</v>
      </c>
      <c r="G48" s="5">
        <v>37256</v>
      </c>
      <c r="H48" s="257">
        <f t="shared" si="44"/>
        <v>12</v>
      </c>
      <c r="I48" s="25">
        <f aca="true" t="shared" si="92" ref="I48:K49">+I22</f>
        <v>19366</v>
      </c>
      <c r="J48" s="25">
        <f t="shared" si="92"/>
        <v>19467</v>
      </c>
      <c r="K48" s="25">
        <f t="shared" si="92"/>
        <v>17843</v>
      </c>
      <c r="L48" s="9">
        <v>18236</v>
      </c>
      <c r="M48" s="9">
        <v>18520</v>
      </c>
      <c r="N48" s="6"/>
      <c r="O48" s="31">
        <f t="shared" si="45"/>
        <v>1840</v>
      </c>
      <c r="P48" s="25">
        <f t="shared" si="45"/>
        <v>1337</v>
      </c>
      <c r="Q48" s="25">
        <f t="shared" si="45"/>
        <v>549</v>
      </c>
      <c r="R48" s="9">
        <v>829</v>
      </c>
      <c r="S48" s="9">
        <v>1013</v>
      </c>
      <c r="T48" s="262"/>
      <c r="U48" s="25">
        <f t="shared" si="46"/>
        <v>1189</v>
      </c>
      <c r="V48" s="25">
        <f t="shared" si="46"/>
        <v>661</v>
      </c>
      <c r="W48" s="25">
        <f t="shared" si="46"/>
        <v>-117</v>
      </c>
      <c r="X48" s="9">
        <v>207</v>
      </c>
      <c r="Y48" s="9">
        <v>261</v>
      </c>
      <c r="Z48" s="6"/>
      <c r="AA48" s="32">
        <f t="shared" si="82"/>
        <v>5.65</v>
      </c>
      <c r="AB48" s="26">
        <f t="shared" si="82"/>
        <v>2.08</v>
      </c>
      <c r="AC48" s="26">
        <f t="shared" si="82"/>
        <v>-0.91</v>
      </c>
      <c r="AD48" s="12">
        <v>0.5</v>
      </c>
      <c r="AE48" s="12">
        <v>0.94</v>
      </c>
      <c r="AF48" s="263"/>
      <c r="AG48" s="25">
        <f t="shared" si="47"/>
        <v>19366</v>
      </c>
      <c r="AH48" s="25">
        <f t="shared" si="48"/>
        <v>19467</v>
      </c>
      <c r="AI48" s="25">
        <f t="shared" si="49"/>
        <v>17843</v>
      </c>
      <c r="AJ48" s="25">
        <f t="shared" si="50"/>
        <v>18236</v>
      </c>
      <c r="AK48" s="25">
        <f t="shared" si="51"/>
        <v>18520</v>
      </c>
      <c r="AL48" s="3"/>
      <c r="AM48" s="31">
        <f t="shared" si="52"/>
        <v>1840</v>
      </c>
      <c r="AN48" s="25">
        <f t="shared" si="53"/>
        <v>1337</v>
      </c>
      <c r="AO48" s="25">
        <f t="shared" si="54"/>
        <v>549</v>
      </c>
      <c r="AP48" s="25">
        <f t="shared" si="55"/>
        <v>829</v>
      </c>
      <c r="AQ48" s="25">
        <f t="shared" si="56"/>
        <v>1013</v>
      </c>
      <c r="AR48" s="148"/>
      <c r="AS48" s="25">
        <f t="shared" si="57"/>
        <v>1189</v>
      </c>
      <c r="AT48" s="25">
        <f t="shared" si="58"/>
        <v>661</v>
      </c>
      <c r="AU48" s="25">
        <f t="shared" si="59"/>
        <v>-117</v>
      </c>
      <c r="AV48" s="25">
        <f t="shared" si="60"/>
        <v>207</v>
      </c>
      <c r="AW48" s="25">
        <f t="shared" si="61"/>
        <v>261</v>
      </c>
      <c r="AX48" s="3"/>
      <c r="AY48" s="32">
        <f t="shared" si="62"/>
        <v>5.650000000000001</v>
      </c>
      <c r="AZ48" s="26">
        <f t="shared" si="63"/>
        <v>2.08</v>
      </c>
      <c r="BA48" s="26">
        <f t="shared" si="64"/>
        <v>-0.91</v>
      </c>
      <c r="BB48" s="26">
        <f t="shared" si="65"/>
        <v>0.5</v>
      </c>
      <c r="BC48" s="26">
        <f t="shared" si="66"/>
        <v>0.94</v>
      </c>
      <c r="BD48" s="148"/>
      <c r="BE48" s="28">
        <f t="shared" si="83"/>
        <v>0.21139626148920787</v>
      </c>
      <c r="BF48" s="28">
        <f t="shared" si="67"/>
        <v>0.21029948117326755</v>
      </c>
      <c r="BG48" s="28">
        <f t="shared" si="68"/>
        <v>0.22944011657232527</v>
      </c>
      <c r="BH48" s="28">
        <f t="shared" si="69"/>
        <v>0.22449550339986837</v>
      </c>
      <c r="BI48" s="28">
        <f t="shared" si="70"/>
        <v>0.22105291576673863</v>
      </c>
      <c r="BJ48" s="3"/>
      <c r="BK48" s="37">
        <f t="shared" si="71"/>
        <v>2.224945652173913</v>
      </c>
      <c r="BL48" s="28">
        <f t="shared" si="72"/>
        <v>3.0620044876589376</v>
      </c>
      <c r="BM48" s="28">
        <f t="shared" si="73"/>
        <v>7.457012750455373</v>
      </c>
      <c r="BN48" s="28">
        <f t="shared" si="74"/>
        <v>4.938359469240048</v>
      </c>
      <c r="BO48" s="28">
        <f t="shared" si="75"/>
        <v>4.041362290227048</v>
      </c>
      <c r="BP48" s="148"/>
      <c r="BQ48" s="28">
        <f t="shared" si="76"/>
        <v>3.443145500420521</v>
      </c>
      <c r="BR48" s="28">
        <f t="shared" si="77"/>
        <v>6.193494704992435</v>
      </c>
      <c r="BS48" s="28">
        <f t="shared" si="78"/>
        <v>-34.990598290598285</v>
      </c>
      <c r="BT48" s="28">
        <f t="shared" si="79"/>
        <v>19.777294685990338</v>
      </c>
      <c r="BU48" s="28">
        <f t="shared" si="80"/>
        <v>15.685440613026818</v>
      </c>
      <c r="BV48" s="3"/>
      <c r="BW48" s="37">
        <f t="shared" si="84"/>
        <v>1.9929203539823004</v>
      </c>
      <c r="BX48" s="28">
        <f t="shared" si="85"/>
        <v>5.413461538461538</v>
      </c>
      <c r="BY48" s="28">
        <f t="shared" si="86"/>
        <v>-12.373626373626372</v>
      </c>
      <c r="BZ48" s="28">
        <f t="shared" si="87"/>
        <v>22.52</v>
      </c>
      <c r="CA48" s="28">
        <f t="shared" si="88"/>
        <v>11.97872340425532</v>
      </c>
      <c r="CB48" s="148"/>
      <c r="CC48" s="38">
        <f t="shared" si="89"/>
        <v>-0.011104811764696465</v>
      </c>
      <c r="CD48" s="39">
        <f t="shared" si="90"/>
        <v>-1.7946457771738502</v>
      </c>
      <c r="CE48" s="148"/>
    </row>
    <row r="49" spans="1:83" s="42" customFormat="1" ht="18">
      <c r="A49" s="146"/>
      <c r="B49" s="1" t="s">
        <v>0</v>
      </c>
      <c r="C49" s="26">
        <f t="shared" si="91"/>
        <v>33.8</v>
      </c>
      <c r="D49" s="49">
        <f t="shared" si="91"/>
        <v>108.2</v>
      </c>
      <c r="E49" s="49">
        <f t="shared" si="91"/>
        <v>116.351</v>
      </c>
      <c r="F49" s="4" t="s">
        <v>54</v>
      </c>
      <c r="G49" s="5">
        <v>37437</v>
      </c>
      <c r="H49" s="257">
        <f t="shared" si="44"/>
        <v>6</v>
      </c>
      <c r="I49" s="25">
        <f t="shared" si="92"/>
        <v>95.7</v>
      </c>
      <c r="J49" s="25">
        <f t="shared" si="92"/>
        <v>111.1</v>
      </c>
      <c r="K49" s="25">
        <f t="shared" si="92"/>
        <v>129.4</v>
      </c>
      <c r="L49" s="9">
        <v>147.4</v>
      </c>
      <c r="M49" s="9">
        <v>160.8</v>
      </c>
      <c r="N49" s="9">
        <v>180.7</v>
      </c>
      <c r="O49" s="31">
        <f t="shared" si="45"/>
        <v>13.6</v>
      </c>
      <c r="P49" s="25">
        <f t="shared" si="45"/>
        <v>18.1</v>
      </c>
      <c r="Q49" s="25">
        <f t="shared" si="45"/>
        <v>23.9</v>
      </c>
      <c r="R49" s="9">
        <v>29.4</v>
      </c>
      <c r="S49" s="9">
        <v>32</v>
      </c>
      <c r="T49" s="261" t="s">
        <v>50</v>
      </c>
      <c r="U49" s="25">
        <f t="shared" si="46"/>
        <v>9.8</v>
      </c>
      <c r="V49" s="25">
        <f t="shared" si="46"/>
        <v>13.1</v>
      </c>
      <c r="W49" s="25">
        <f t="shared" si="46"/>
        <v>17.5</v>
      </c>
      <c r="X49" s="9">
        <v>20.7</v>
      </c>
      <c r="Y49" s="9">
        <v>23.3</v>
      </c>
      <c r="Z49" s="9">
        <v>24.5</v>
      </c>
      <c r="AA49" s="32">
        <f t="shared" si="82"/>
        <v>1.4</v>
      </c>
      <c r="AB49" s="26">
        <f t="shared" si="82"/>
        <v>2.1</v>
      </c>
      <c r="AC49" s="26">
        <f t="shared" si="82"/>
        <v>3.32</v>
      </c>
      <c r="AD49" s="12">
        <v>3.91</v>
      </c>
      <c r="AE49" s="12">
        <v>4.12</v>
      </c>
      <c r="AF49" s="268">
        <v>4.63</v>
      </c>
      <c r="AG49" s="25">
        <f t="shared" si="47"/>
        <v>103.39999999999999</v>
      </c>
      <c r="AH49" s="25">
        <f t="shared" si="48"/>
        <v>120.25</v>
      </c>
      <c r="AI49" s="25">
        <f t="shared" si="49"/>
        <v>138.4</v>
      </c>
      <c r="AJ49" s="25">
        <f t="shared" si="50"/>
        <v>154.10000000000002</v>
      </c>
      <c r="AK49" s="25">
        <f t="shared" si="51"/>
        <v>170.75</v>
      </c>
      <c r="AL49" s="3"/>
      <c r="AM49" s="31">
        <f t="shared" si="52"/>
        <v>15.850000000000001</v>
      </c>
      <c r="AN49" s="25">
        <f t="shared" si="53"/>
        <v>21</v>
      </c>
      <c r="AO49" s="25">
        <f t="shared" si="54"/>
        <v>26.649999999999995</v>
      </c>
      <c r="AP49" s="25">
        <f t="shared" si="55"/>
        <v>30.699999999999996</v>
      </c>
      <c r="AQ49" s="25" t="str">
        <f t="shared" si="56"/>
        <v>n/a</v>
      </c>
      <c r="AR49" s="148"/>
      <c r="AS49" s="25">
        <f t="shared" si="57"/>
        <v>11.45</v>
      </c>
      <c r="AT49" s="25">
        <f t="shared" si="58"/>
        <v>15.3</v>
      </c>
      <c r="AU49" s="25">
        <f t="shared" si="59"/>
        <v>19.1</v>
      </c>
      <c r="AV49" s="25">
        <f t="shared" si="60"/>
        <v>22</v>
      </c>
      <c r="AW49" s="25">
        <f t="shared" si="61"/>
        <v>23.9</v>
      </c>
      <c r="AX49" s="3"/>
      <c r="AY49" s="32">
        <f t="shared" si="62"/>
        <v>1.75</v>
      </c>
      <c r="AZ49" s="26">
        <f t="shared" si="63"/>
        <v>2.71</v>
      </c>
      <c r="BA49" s="26">
        <f t="shared" si="64"/>
        <v>3.615</v>
      </c>
      <c r="BB49" s="26">
        <f t="shared" si="65"/>
        <v>4.015000000000001</v>
      </c>
      <c r="BC49" s="26">
        <f t="shared" si="66"/>
        <v>4.375</v>
      </c>
      <c r="BD49" s="148"/>
      <c r="BE49" s="28">
        <f t="shared" si="83"/>
        <v>1.1252514506769826</v>
      </c>
      <c r="BF49" s="28">
        <f t="shared" si="67"/>
        <v>0.9675758835758835</v>
      </c>
      <c r="BG49" s="28">
        <f t="shared" si="68"/>
        <v>0.8406864161849711</v>
      </c>
      <c r="BH49" s="28">
        <f t="shared" si="69"/>
        <v>0.755035691109669</v>
      </c>
      <c r="BI49" s="28">
        <f t="shared" si="70"/>
        <v>0.681411420204978</v>
      </c>
      <c r="BJ49" s="3"/>
      <c r="BK49" s="37">
        <f t="shared" si="71"/>
        <v>7.340757097791798</v>
      </c>
      <c r="BL49" s="28">
        <f t="shared" si="72"/>
        <v>5.540523809523809</v>
      </c>
      <c r="BM49" s="28">
        <f t="shared" si="73"/>
        <v>4.365891181988744</v>
      </c>
      <c r="BN49" s="28">
        <f t="shared" si="74"/>
        <v>3.789934853420196</v>
      </c>
      <c r="BO49" s="28" t="str">
        <f t="shared" si="75"/>
        <v>n/a</v>
      </c>
      <c r="BP49" s="148"/>
      <c r="BQ49" s="28">
        <f t="shared" si="76"/>
        <v>10.161659388646289</v>
      </c>
      <c r="BR49" s="28">
        <f t="shared" si="77"/>
        <v>7.604640522875816</v>
      </c>
      <c r="BS49" s="28">
        <f t="shared" si="78"/>
        <v>6.091675392670156</v>
      </c>
      <c r="BT49" s="28">
        <f t="shared" si="79"/>
        <v>5.288681818181818</v>
      </c>
      <c r="BU49" s="28">
        <f t="shared" si="80"/>
        <v>4.868242677824268</v>
      </c>
      <c r="BV49" s="3"/>
      <c r="BW49" s="37">
        <f t="shared" si="84"/>
        <v>19.314285714285713</v>
      </c>
      <c r="BX49" s="28">
        <f t="shared" si="85"/>
        <v>12.472324723247231</v>
      </c>
      <c r="BY49" s="28">
        <f t="shared" si="86"/>
        <v>9.349930843706776</v>
      </c>
      <c r="BZ49" s="28">
        <f t="shared" si="87"/>
        <v>8.418430884184307</v>
      </c>
      <c r="CA49" s="28">
        <f t="shared" si="88"/>
        <v>7.725714285714285</v>
      </c>
      <c r="CB49" s="148"/>
      <c r="CC49" s="38">
        <f t="shared" si="89"/>
        <v>0.1336005381198313</v>
      </c>
      <c r="CD49" s="39">
        <f t="shared" si="90"/>
        <v>1.445674245485599</v>
      </c>
      <c r="CE49" s="148"/>
    </row>
    <row r="50" spans="1:83" s="42" customFormat="1" ht="18">
      <c r="A50" s="243"/>
      <c r="B50" s="33"/>
      <c r="C50" s="28"/>
      <c r="D50" s="28"/>
      <c r="E50" s="28"/>
      <c r="F50" s="23"/>
      <c r="G50" s="34"/>
      <c r="H50" s="259"/>
      <c r="I50" s="27"/>
      <c r="J50" s="27"/>
      <c r="K50" s="27"/>
      <c r="L50" s="35"/>
      <c r="M50" s="35"/>
      <c r="N50" s="35"/>
      <c r="O50" s="27"/>
      <c r="P50" s="27"/>
      <c r="Q50" s="27"/>
      <c r="R50" s="35"/>
      <c r="S50" s="35"/>
      <c r="T50" s="266"/>
      <c r="U50" s="27"/>
      <c r="V50" s="27"/>
      <c r="W50" s="27"/>
      <c r="X50" s="35"/>
      <c r="Y50" s="35"/>
      <c r="Z50" s="35"/>
      <c r="AA50" s="28"/>
      <c r="AB50" s="28"/>
      <c r="AC50" s="28"/>
      <c r="AD50" s="22"/>
      <c r="AE50" s="22"/>
      <c r="AF50" s="259"/>
      <c r="AG50" s="27"/>
      <c r="AH50" s="27"/>
      <c r="AI50" s="27"/>
      <c r="AJ50" s="27"/>
      <c r="AK50" s="27"/>
      <c r="AL50" s="36"/>
      <c r="AM50" s="27"/>
      <c r="AN50" s="27"/>
      <c r="AO50" s="27"/>
      <c r="AP50" s="27"/>
      <c r="AQ50" s="27"/>
      <c r="AR50" s="254"/>
      <c r="AS50" s="27"/>
      <c r="AT50" s="27"/>
      <c r="AU50" s="27"/>
      <c r="AV50" s="27"/>
      <c r="AW50" s="27"/>
      <c r="AX50" s="36"/>
      <c r="AY50" s="28"/>
      <c r="AZ50" s="28"/>
      <c r="BA50" s="28"/>
      <c r="BB50" s="28"/>
      <c r="BC50" s="28"/>
      <c r="BD50" s="254"/>
      <c r="BE50" s="28"/>
      <c r="BF50" s="28"/>
      <c r="BG50" s="28"/>
      <c r="BH50" s="28"/>
      <c r="BI50" s="28"/>
      <c r="BJ50" s="36"/>
      <c r="BK50" s="36"/>
      <c r="BL50" s="36"/>
      <c r="BM50" s="36"/>
      <c r="BN50" s="36"/>
      <c r="BO50" s="36"/>
      <c r="BP50" s="254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254"/>
      <c r="CC50" s="36"/>
      <c r="CD50" s="36"/>
      <c r="CE50" s="254"/>
    </row>
    <row r="51" spans="1:83" s="42" customFormat="1" ht="18">
      <c r="A51" s="146"/>
      <c r="B51" s="33" t="s">
        <v>19</v>
      </c>
      <c r="C51" s="21"/>
      <c r="D51" s="21"/>
      <c r="E51" s="21"/>
      <c r="F51" s="4"/>
      <c r="G51" s="4"/>
      <c r="H51" s="148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148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148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148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148"/>
      <c r="BE51" s="2">
        <f>MEDIAN(BE31:BE49)</f>
        <v>0.5708538264273181</v>
      </c>
      <c r="BF51" s="2">
        <f>MEDIAN(BF31:BF49)</f>
        <v>0.5268817828332657</v>
      </c>
      <c r="BG51" s="2">
        <f>MEDIAN(BG31:BG49)</f>
        <v>0.5111852192578963</v>
      </c>
      <c r="BH51" s="2">
        <f>MEDIAN(BH31:BH49)</f>
        <v>0.4976633124216794</v>
      </c>
      <c r="BI51" s="2">
        <f>MEDIAN(BI31:BI49)</f>
        <v>0.46615614269666517</v>
      </c>
      <c r="BJ51" s="3"/>
      <c r="BK51" s="2">
        <f>MEDIAN(BK31:BK49)</f>
        <v>5.611620795107035</v>
      </c>
      <c r="BL51" s="2">
        <f>MEDIAN(BL31:BL49)</f>
        <v>5.293905517490082</v>
      </c>
      <c r="BM51" s="2">
        <f>MEDIAN(BM31:BM49)</f>
        <v>6.365723694057775</v>
      </c>
      <c r="BN51" s="2">
        <f>MEDIAN(BN31:BN49)</f>
        <v>4.938359469240048</v>
      </c>
      <c r="BO51" s="2">
        <f>MEDIAN(BO31:BO49)</f>
        <v>4.577058855835858</v>
      </c>
      <c r="BP51" s="148"/>
      <c r="BQ51" s="2">
        <f>MEDIAN(BQ31:BQ49)</f>
        <v>9.36134572819832</v>
      </c>
      <c r="BR51" s="2">
        <f>MEDIAN(BR31:BR49)</f>
        <v>8.979920870425323</v>
      </c>
      <c r="BS51" s="2">
        <f>MEDIAN(BS31:BS49)</f>
        <v>12.25882899628253</v>
      </c>
      <c r="BT51" s="2">
        <f>MEDIAN(BT31:BT49)</f>
        <v>9.406686930091185</v>
      </c>
      <c r="BU51" s="2">
        <f>MEDIAN(BU31:BU49)</f>
        <v>8.62445658232081</v>
      </c>
      <c r="BV51" s="3"/>
      <c r="BW51" s="2">
        <f>MEDIAN(BW31:BW49)</f>
        <v>11.679197994987469</v>
      </c>
      <c r="BX51" s="2">
        <f>MEDIAN(BX31:BX49)</f>
        <v>11.288</v>
      </c>
      <c r="BY51" s="2">
        <f>MEDIAN(BY31:BY49)</f>
        <v>9.349930843706776</v>
      </c>
      <c r="BZ51" s="2">
        <f>MEDIAN(BZ31:BZ49)</f>
        <v>10.901216798350381</v>
      </c>
      <c r="CA51" s="2">
        <f>MEDIAN(CA31:CA49)</f>
        <v>9.819050792338887</v>
      </c>
      <c r="CB51" s="148"/>
      <c r="CC51" s="3"/>
      <c r="CD51" s="3"/>
      <c r="CE51" s="148"/>
    </row>
    <row r="52" spans="1:83" s="42" customFormat="1" ht="18">
      <c r="A52" s="146"/>
      <c r="B52" s="33" t="s">
        <v>20</v>
      </c>
      <c r="C52" s="21"/>
      <c r="D52" s="21"/>
      <c r="E52" s="21"/>
      <c r="F52" s="4"/>
      <c r="G52" s="4"/>
      <c r="H52" s="148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148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148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148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148"/>
      <c r="BE52" s="2">
        <f>AVERAGE(BE31:BE49)</f>
        <v>0.6662177510985936</v>
      </c>
      <c r="BF52" s="2">
        <f>AVERAGE(BF31:BF49)</f>
        <v>0.6138149716025189</v>
      </c>
      <c r="BG52" s="2">
        <f>AVERAGE(BG31:BG49)</f>
        <v>0.5971048142485089</v>
      </c>
      <c r="BH52" s="2">
        <f>AVERAGE(BH31:BH49)</f>
        <v>0.5862546096983228</v>
      </c>
      <c r="BI52" s="2">
        <f>AVERAGE(BI31:BI49)</f>
        <v>0.5486591386235942</v>
      </c>
      <c r="BJ52" s="3"/>
      <c r="BK52" s="2">
        <f>AVERAGE(BK31:BK49)</f>
        <v>5.913680642339765</v>
      </c>
      <c r="BL52" s="2">
        <f>AVERAGE(BL31:BL49)</f>
        <v>5.2745378220482975</v>
      </c>
      <c r="BM52" s="2">
        <f>AVERAGE(BM31:BM49)</f>
        <v>6.291701360879867</v>
      </c>
      <c r="BN52" s="2">
        <f>AVERAGE(BN31:BN49)</f>
        <v>5.4084997578182366</v>
      </c>
      <c r="BO52" s="2">
        <f>AVERAGE(BO31:BO49)</f>
        <v>4.831311013949364</v>
      </c>
      <c r="BP52" s="148"/>
      <c r="BQ52" s="2">
        <f>AVERAGE(BQ31:BQ49)</f>
        <v>4.401179992522932</v>
      </c>
      <c r="BR52" s="2">
        <f>AVERAGE(BR31:BR49)</f>
        <v>10.227058715474305</v>
      </c>
      <c r="BS52" s="2">
        <f>AVERAGE(BS31:BS49)</f>
        <v>22.922212568308826</v>
      </c>
      <c r="BT52" s="2">
        <f>AVERAGE(BT31:BT49)</f>
        <v>11.798943609781562</v>
      </c>
      <c r="BU52" s="2">
        <f>AVERAGE(BU31:BU49)</f>
        <v>10.226345218361631</v>
      </c>
      <c r="BV52" s="3"/>
      <c r="BW52" s="2">
        <f>AVERAGE(BW31:BW49)</f>
        <v>12.348430098563346</v>
      </c>
      <c r="BX52" s="2">
        <f>AVERAGE(BX31:BX49)</f>
        <v>17.795725072683457</v>
      </c>
      <c r="BY52" s="2">
        <f>AVERAGE(BY31:BY49)</f>
        <v>15.486394558219573</v>
      </c>
      <c r="BZ52" s="2">
        <f>AVERAGE(BZ31:BZ49)</f>
        <v>-14.8048185620723</v>
      </c>
      <c r="CA52" s="2">
        <f>AVERAGE(CA31:CA49)</f>
        <v>11.106055667774493</v>
      </c>
      <c r="CB52" s="148"/>
      <c r="CC52" s="3"/>
      <c r="CD52" s="3"/>
      <c r="CE52" s="148"/>
    </row>
    <row r="53" spans="1:83" s="42" customFormat="1" ht="12.75">
      <c r="A53" s="146"/>
      <c r="B53" s="21"/>
      <c r="C53" s="21"/>
      <c r="D53" s="21"/>
      <c r="E53" s="21"/>
      <c r="F53" s="4"/>
      <c r="G53" s="4"/>
      <c r="H53" s="148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148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148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148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148"/>
      <c r="BE53" s="2"/>
      <c r="BF53" s="2"/>
      <c r="BG53" s="2"/>
      <c r="BH53" s="2"/>
      <c r="BI53" s="2"/>
      <c r="BJ53" s="3"/>
      <c r="BK53" s="2"/>
      <c r="BL53" s="2"/>
      <c r="BM53" s="2"/>
      <c r="BN53" s="2"/>
      <c r="BO53" s="2"/>
      <c r="BP53" s="148"/>
      <c r="BQ53" s="2"/>
      <c r="BR53" s="2"/>
      <c r="BS53" s="2"/>
      <c r="BT53" s="2"/>
      <c r="BU53" s="2"/>
      <c r="BV53" s="3"/>
      <c r="BW53" s="2"/>
      <c r="BX53" s="2"/>
      <c r="BY53" s="2"/>
      <c r="BZ53" s="2"/>
      <c r="CA53" s="2"/>
      <c r="CB53" s="148"/>
      <c r="CC53" s="3"/>
      <c r="CD53" s="3"/>
      <c r="CE53" s="148"/>
    </row>
    <row r="54" spans="1:83" s="42" customFormat="1" ht="12.75">
      <c r="A54" s="146"/>
      <c r="B54" s="21" t="s">
        <v>43</v>
      </c>
      <c r="C54" s="21"/>
      <c r="D54" s="21"/>
      <c r="E54" s="21"/>
      <c r="F54" s="4"/>
      <c r="G54" s="4"/>
      <c r="H54" s="148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148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148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148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148"/>
      <c r="BE54" s="2"/>
      <c r="BF54" s="2"/>
      <c r="BG54" s="2"/>
      <c r="BH54" s="2"/>
      <c r="BI54" s="2"/>
      <c r="BJ54" s="3"/>
      <c r="BK54" s="2"/>
      <c r="BL54" s="2"/>
      <c r="BM54" s="2"/>
      <c r="BN54" s="2"/>
      <c r="BO54" s="2"/>
      <c r="BP54" s="148"/>
      <c r="BQ54" s="2"/>
      <c r="BR54" s="2"/>
      <c r="BS54" s="2"/>
      <c r="BT54" s="2"/>
      <c r="BU54" s="2"/>
      <c r="BV54" s="3"/>
      <c r="BW54" s="2"/>
      <c r="BX54" s="2"/>
      <c r="BY54" s="2"/>
      <c r="BZ54" s="2"/>
      <c r="CA54" s="2"/>
      <c r="CB54" s="148"/>
      <c r="CC54" s="3"/>
      <c r="CD54" s="3"/>
      <c r="CE54" s="148"/>
    </row>
    <row r="55" spans="1:83" s="42" customFormat="1" ht="12.75">
      <c r="A55" s="146"/>
      <c r="B55" s="21" t="s">
        <v>49</v>
      </c>
      <c r="C55" s="21"/>
      <c r="D55" s="21"/>
      <c r="E55" s="21"/>
      <c r="F55" s="4"/>
      <c r="G55" s="4"/>
      <c r="H55" s="148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148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148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148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148"/>
      <c r="BE55" s="2"/>
      <c r="BF55" s="2"/>
      <c r="BG55" s="2"/>
      <c r="BH55" s="2"/>
      <c r="BI55" s="2"/>
      <c r="BJ55" s="3"/>
      <c r="BK55" s="2"/>
      <c r="BL55" s="2"/>
      <c r="BM55" s="2"/>
      <c r="BN55" s="2"/>
      <c r="BO55" s="2"/>
      <c r="BP55" s="148"/>
      <c r="BQ55" s="2"/>
      <c r="BR55" s="2"/>
      <c r="BS55" s="2"/>
      <c r="BT55" s="2"/>
      <c r="BU55" s="2"/>
      <c r="BV55" s="3"/>
      <c r="BW55" s="2"/>
      <c r="BX55" s="2"/>
      <c r="BY55" s="2"/>
      <c r="BZ55" s="2"/>
      <c r="CA55" s="2"/>
      <c r="CB55" s="148"/>
      <c r="CC55" s="3"/>
      <c r="CD55" s="3"/>
      <c r="CE55" s="148"/>
    </row>
    <row r="56" spans="1:83" s="42" customFormat="1" ht="13.5" thickBot="1">
      <c r="A56" s="150"/>
      <c r="B56" s="255"/>
      <c r="C56" s="255"/>
      <c r="D56" s="255"/>
      <c r="E56" s="255"/>
      <c r="F56" s="140"/>
      <c r="G56" s="140"/>
      <c r="H56" s="152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2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2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2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2"/>
      <c r="BE56" s="168"/>
      <c r="BF56" s="168"/>
      <c r="BG56" s="168"/>
      <c r="BH56" s="168"/>
      <c r="BI56" s="168"/>
      <c r="BJ56" s="151"/>
      <c r="BK56" s="168"/>
      <c r="BL56" s="168"/>
      <c r="BM56" s="168"/>
      <c r="BN56" s="168"/>
      <c r="BO56" s="168"/>
      <c r="BP56" s="152"/>
      <c r="BQ56" s="168"/>
      <c r="BR56" s="168"/>
      <c r="BS56" s="168"/>
      <c r="BT56" s="168"/>
      <c r="BU56" s="168"/>
      <c r="BV56" s="151"/>
      <c r="BW56" s="168"/>
      <c r="BX56" s="168"/>
      <c r="BY56" s="168"/>
      <c r="BZ56" s="168"/>
      <c r="CA56" s="168"/>
      <c r="CB56" s="152"/>
      <c r="CC56" s="151"/>
      <c r="CD56" s="151"/>
      <c r="CE56" s="152"/>
    </row>
    <row r="57" spans="1:83" s="42" customFormat="1" ht="13.5" thickTop="1">
      <c r="A57" s="143"/>
      <c r="B57" s="144"/>
      <c r="C57" s="144"/>
      <c r="D57" s="144"/>
      <c r="E57" s="144"/>
      <c r="F57" s="98"/>
      <c r="G57" s="98"/>
      <c r="H57" s="145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5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5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5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5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5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5"/>
      <c r="CC57" s="144"/>
      <c r="CD57" s="144"/>
      <c r="CE57" s="145"/>
    </row>
    <row r="58" spans="1:83" s="42" customFormat="1" ht="18">
      <c r="A58" s="146"/>
      <c r="B58" s="45" t="s">
        <v>109</v>
      </c>
      <c r="C58" s="3"/>
      <c r="D58" s="3"/>
      <c r="E58" s="3"/>
      <c r="F58" s="4"/>
      <c r="G58" s="4"/>
      <c r="H58" s="148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14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148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148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148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148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148"/>
      <c r="CC58" s="3"/>
      <c r="CD58" s="3"/>
      <c r="CE58" s="148"/>
    </row>
    <row r="59" spans="1:83" s="42" customFormat="1" ht="12.75">
      <c r="A59" s="146"/>
      <c r="B59" s="3"/>
      <c r="C59" s="3"/>
      <c r="D59" s="3"/>
      <c r="E59" s="3"/>
      <c r="F59" s="4"/>
      <c r="G59" s="4"/>
      <c r="H59" s="148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148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148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148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148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148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148"/>
      <c r="CC59" s="3"/>
      <c r="CD59" s="3"/>
      <c r="CE59" s="148"/>
    </row>
    <row r="60" spans="1:83" s="42" customFormat="1" ht="18">
      <c r="A60" s="146"/>
      <c r="B60" s="1" t="s">
        <v>18</v>
      </c>
      <c r="C60" s="41"/>
      <c r="D60" s="41"/>
      <c r="E60" s="41"/>
      <c r="F60" s="44"/>
      <c r="G60" s="44"/>
      <c r="H60" s="260"/>
      <c r="L60" s="24">
        <f>IF(OR(L5="n/a",L31="n/a"),,L5/L31-1)</f>
        <v>0</v>
      </c>
      <c r="M60" s="24">
        <f>IF(OR(M5="n/a",M31="n/a"),,M5/M31-1)</f>
        <v>-1.5762677133102088E-05</v>
      </c>
      <c r="N60" s="24">
        <f>IF(OR(N5="n/a",N31="n/a"),,N5/N31-1)</f>
        <v>0.040056818181818166</v>
      </c>
      <c r="R60" s="24">
        <f>IF(OR(R5="n/a",R31="n/a"),,R5/R31-1)</f>
        <v>0</v>
      </c>
      <c r="S60" s="24">
        <f>IF(OR(S5="n/a",S31="n/a"),,S5/S31-1)</f>
        <v>0.009127137164159915</v>
      </c>
      <c r="T60" s="267">
        <f>IF(OR(T5="n/a",T31="n/a"),,T5/T31-1)</f>
        <v>0.08108108108108092</v>
      </c>
      <c r="X60" s="24">
        <f>IF(OR(X5="n/a",X31="n/a"),,X5/X31-1)</f>
        <v>0</v>
      </c>
      <c r="Y60" s="24">
        <f>IF(OR(Y5="n/a",Y31="n/a"),,Y5/Y31-1)</f>
        <v>0.015390275308112322</v>
      </c>
      <c r="Z60" s="24">
        <f>IF(OR(Z5="n/a",Z31="n/a"),,Z5/Z31-1)</f>
        <v>0.04621635347892328</v>
      </c>
      <c r="AD60" s="24">
        <f>IF(OR(AD5="n/a",AD31="n/a"),,AD5/AD31-1)</f>
        <v>0</v>
      </c>
      <c r="AE60" s="24">
        <f>IF(OR(AE5="n/a",AE31="n/a"),,AE5/AE31-1)</f>
        <v>0.020054694621695512</v>
      </c>
      <c r="AF60" s="267">
        <f>IF(OR(AF5="n/a",AF31="n/a"),,AF5/AF31-1)</f>
        <v>0.08290155440414493</v>
      </c>
      <c r="AR60" s="260"/>
      <c r="BD60" s="260"/>
      <c r="BP60" s="260"/>
      <c r="CB60" s="260"/>
      <c r="CE60" s="148"/>
    </row>
    <row r="61" spans="1:83" s="42" customFormat="1" ht="18">
      <c r="A61" s="146"/>
      <c r="B61" s="1" t="s">
        <v>17</v>
      </c>
      <c r="C61" s="41"/>
      <c r="D61" s="41"/>
      <c r="E61" s="41"/>
      <c r="F61" s="44"/>
      <c r="G61" s="44"/>
      <c r="H61" s="260"/>
      <c r="L61" s="24">
        <f aca="true" t="shared" si="93" ref="L61:M78">IF(OR(L6="n/a",L32="n/a"),,L6/L32-1)</f>
        <v>-0.008123354644603231</v>
      </c>
      <c r="M61" s="24">
        <f t="shared" si="93"/>
        <v>-0.005358406632292034</v>
      </c>
      <c r="N61" s="24"/>
      <c r="R61" s="24">
        <f aca="true" t="shared" si="94" ref="R61:S78">IF(OR(R6="n/a",R32="n/a"),,R6/R32-1)</f>
        <v>-0.013590649633052454</v>
      </c>
      <c r="S61" s="24">
        <f t="shared" si="94"/>
        <v>0.010739565535758056</v>
      </c>
      <c r="T61" s="267"/>
      <c r="X61" s="24">
        <f aca="true" t="shared" si="95" ref="X61:Y78">IF(OR(X6="n/a",X32="n/a"),,X6/X32-1)</f>
        <v>0</v>
      </c>
      <c r="Y61" s="24">
        <f t="shared" si="95"/>
        <v>0</v>
      </c>
      <c r="Z61" s="24"/>
      <c r="AD61" s="24">
        <f aca="true" t="shared" si="96" ref="AD61:AE78">IF(OR(AD6="n/a",AD32="n/a"),,AD6/AD32-1)</f>
        <v>-0.003552397868561208</v>
      </c>
      <c r="AE61" s="24">
        <f t="shared" si="96"/>
        <v>0.004680187207488418</v>
      </c>
      <c r="AF61" s="267"/>
      <c r="AR61" s="260"/>
      <c r="BD61" s="260"/>
      <c r="BP61" s="260"/>
      <c r="CB61" s="260"/>
      <c r="CE61" s="148"/>
    </row>
    <row r="62" spans="1:83" s="42" customFormat="1" ht="18">
      <c r="A62" s="146"/>
      <c r="B62" s="1" t="s">
        <v>16</v>
      </c>
      <c r="C62" s="41"/>
      <c r="D62" s="41"/>
      <c r="E62" s="41"/>
      <c r="F62" s="44"/>
      <c r="G62" s="44"/>
      <c r="H62" s="260"/>
      <c r="L62" s="24">
        <f t="shared" si="93"/>
        <v>-0.0029306131677578895</v>
      </c>
      <c r="M62" s="24">
        <f t="shared" si="93"/>
        <v>-0.0065912821752064366</v>
      </c>
      <c r="N62" s="24"/>
      <c r="R62" s="24">
        <f t="shared" si="94"/>
        <v>-0.027915388849571454</v>
      </c>
      <c r="S62" s="24">
        <f t="shared" si="94"/>
        <v>-0.003045243619489546</v>
      </c>
      <c r="T62" s="267"/>
      <c r="X62" s="24">
        <f t="shared" si="95"/>
        <v>-0.01677907550583968</v>
      </c>
      <c r="Y62" s="24">
        <f t="shared" si="95"/>
        <v>0.0026369762672135977</v>
      </c>
      <c r="Z62" s="24"/>
      <c r="AD62" s="24">
        <f t="shared" si="96"/>
        <v>-0.03960396039603964</v>
      </c>
      <c r="AE62" s="24">
        <f t="shared" si="96"/>
        <v>-0.008264462809917328</v>
      </c>
      <c r="AF62" s="267"/>
      <c r="AR62" s="260"/>
      <c r="BD62" s="260"/>
      <c r="BP62" s="260"/>
      <c r="CB62" s="260"/>
      <c r="CE62" s="148"/>
    </row>
    <row r="63" spans="1:83" s="42" customFormat="1" ht="18">
      <c r="A63" s="146"/>
      <c r="B63" s="1" t="s">
        <v>15</v>
      </c>
      <c r="C63" s="41"/>
      <c r="D63" s="41"/>
      <c r="E63" s="41"/>
      <c r="F63" s="44"/>
      <c r="G63" s="44"/>
      <c r="H63" s="260"/>
      <c r="L63" s="24">
        <f t="shared" si="93"/>
        <v>0.006599793428216261</v>
      </c>
      <c r="M63" s="24">
        <f t="shared" si="93"/>
        <v>-0.02660872093962552</v>
      </c>
      <c r="N63" s="24"/>
      <c r="R63" s="24">
        <f t="shared" si="94"/>
        <v>0</v>
      </c>
      <c r="S63" s="24">
        <f t="shared" si="94"/>
        <v>0</v>
      </c>
      <c r="T63" s="267"/>
      <c r="X63" s="24">
        <f t="shared" si="95"/>
        <v>0</v>
      </c>
      <c r="Y63" s="24">
        <f t="shared" si="95"/>
        <v>0</v>
      </c>
      <c r="Z63" s="24"/>
      <c r="AD63" s="24">
        <f t="shared" si="96"/>
        <v>0.12903225806451601</v>
      </c>
      <c r="AE63" s="24">
        <f t="shared" si="96"/>
        <v>0.04641350210970452</v>
      </c>
      <c r="AF63" s="267"/>
      <c r="AR63" s="260"/>
      <c r="BD63" s="260"/>
      <c r="BP63" s="260"/>
      <c r="CB63" s="260"/>
      <c r="CE63" s="148"/>
    </row>
    <row r="64" spans="1:83" s="42" customFormat="1" ht="18">
      <c r="A64" s="146"/>
      <c r="B64" s="1" t="s">
        <v>12</v>
      </c>
      <c r="C64" s="41"/>
      <c r="D64" s="41"/>
      <c r="E64" s="41"/>
      <c r="F64" s="44"/>
      <c r="G64" s="44"/>
      <c r="H64" s="260"/>
      <c r="L64" s="24">
        <f t="shared" si="93"/>
        <v>-0.004170961247627836</v>
      </c>
      <c r="M64" s="24">
        <f t="shared" si="93"/>
        <v>-0.03399683248146279</v>
      </c>
      <c r="N64" s="24"/>
      <c r="R64" s="24">
        <f t="shared" si="94"/>
        <v>-0.027379085755638743</v>
      </c>
      <c r="S64" s="24">
        <f t="shared" si="94"/>
        <v>-0.11200459506031002</v>
      </c>
      <c r="T64" s="267"/>
      <c r="X64" s="24">
        <f t="shared" si="95"/>
        <v>0</v>
      </c>
      <c r="Y64" s="24">
        <f t="shared" si="95"/>
        <v>0</v>
      </c>
      <c r="Z64" s="24"/>
      <c r="AD64" s="24">
        <f t="shared" si="96"/>
        <v>-0.025423728813559365</v>
      </c>
      <c r="AE64" s="24">
        <f t="shared" si="96"/>
        <v>0.01183431952662728</v>
      </c>
      <c r="AF64" s="267"/>
      <c r="AR64" s="260"/>
      <c r="BD64" s="260"/>
      <c r="BP64" s="260"/>
      <c r="CB64" s="260"/>
      <c r="CE64" s="148"/>
    </row>
    <row r="65" spans="1:83" s="42" customFormat="1" ht="18">
      <c r="A65" s="146"/>
      <c r="B65" s="1" t="s">
        <v>13</v>
      </c>
      <c r="C65" s="41"/>
      <c r="D65" s="41"/>
      <c r="E65" s="41"/>
      <c r="F65" s="44"/>
      <c r="G65" s="44"/>
      <c r="H65" s="260"/>
      <c r="L65" s="24">
        <f t="shared" si="93"/>
        <v>-0.0044379139566800285</v>
      </c>
      <c r="M65" s="24">
        <f t="shared" si="93"/>
        <v>-0.03388335465622749</v>
      </c>
      <c r="N65" s="24"/>
      <c r="R65" s="24">
        <f t="shared" si="94"/>
        <v>-0.014152661428794455</v>
      </c>
      <c r="S65" s="24">
        <f t="shared" si="94"/>
        <v>0.07258938244853752</v>
      </c>
      <c r="T65" s="267"/>
      <c r="X65" s="24">
        <f t="shared" si="95"/>
        <v>-0.008605664488017362</v>
      </c>
      <c r="Y65" s="24">
        <f t="shared" si="95"/>
        <v>0.3891283055827619</v>
      </c>
      <c r="Z65" s="24"/>
      <c r="AD65" s="24">
        <f t="shared" si="96"/>
        <v>-0.02298850574712641</v>
      </c>
      <c r="AE65" s="24">
        <f t="shared" si="96"/>
        <v>0.008620689655172376</v>
      </c>
      <c r="AF65" s="267"/>
      <c r="AR65" s="260"/>
      <c r="BD65" s="260"/>
      <c r="BP65" s="260"/>
      <c r="CB65" s="260"/>
      <c r="CE65" s="148"/>
    </row>
    <row r="66" spans="1:83" s="42" customFormat="1" ht="18">
      <c r="A66" s="146"/>
      <c r="B66" s="1" t="s">
        <v>14</v>
      </c>
      <c r="C66" s="41"/>
      <c r="D66" s="41"/>
      <c r="E66" s="41"/>
      <c r="F66" s="44"/>
      <c r="G66" s="44"/>
      <c r="H66" s="260"/>
      <c r="L66" s="24">
        <f t="shared" si="93"/>
        <v>0</v>
      </c>
      <c r="M66" s="24">
        <f t="shared" si="93"/>
        <v>-0.0001354218390287043</v>
      </c>
      <c r="N66" s="24">
        <f>IF(OR(N11="n/a",N37="n/a"),,N11/N37-1)</f>
        <v>0.0068304799077441025</v>
      </c>
      <c r="R66" s="24">
        <f t="shared" si="94"/>
        <v>0</v>
      </c>
      <c r="S66" s="24">
        <f t="shared" si="94"/>
        <v>-0.02791792801883619</v>
      </c>
      <c r="T66" s="267">
        <f>IF(OR(T11="n/a",T37="n/a"),,T11/T37-1)</f>
        <v>-0.07949125596184414</v>
      </c>
      <c r="X66" s="24">
        <f t="shared" si="95"/>
        <v>0</v>
      </c>
      <c r="Y66" s="24">
        <f t="shared" si="95"/>
        <v>0</v>
      </c>
      <c r="Z66" s="24">
        <f>IF(OR(Z11="n/a",Z37="n/a"),,Z11/Z37-1)</f>
        <v>0</v>
      </c>
      <c r="AD66" s="24">
        <f t="shared" si="96"/>
        <v>0</v>
      </c>
      <c r="AE66" s="24">
        <f t="shared" si="96"/>
        <v>-0.05207093549154962</v>
      </c>
      <c r="AF66" s="267">
        <f>IF(OR(AF11="n/a",AF37="n/a"),,AF11/AF37-1)</f>
        <v>0.011782509998918833</v>
      </c>
      <c r="AR66" s="260"/>
      <c r="BD66" s="260"/>
      <c r="BP66" s="260"/>
      <c r="CB66" s="260"/>
      <c r="CE66" s="148"/>
    </row>
    <row r="67" spans="1:83" s="42" customFormat="1" ht="18">
      <c r="A67" s="146"/>
      <c r="B67" s="1" t="s">
        <v>11</v>
      </c>
      <c r="C67" s="41"/>
      <c r="D67" s="41"/>
      <c r="E67" s="41"/>
      <c r="F67" s="44"/>
      <c r="G67" s="44"/>
      <c r="H67" s="260"/>
      <c r="L67" s="24">
        <f t="shared" si="93"/>
        <v>0.0055321911428489745</v>
      </c>
      <c r="M67" s="24">
        <f t="shared" si="93"/>
        <v>0.027592255278958477</v>
      </c>
      <c r="N67" s="24"/>
      <c r="R67" s="24">
        <f t="shared" si="94"/>
        <v>0</v>
      </c>
      <c r="S67" s="24">
        <f t="shared" si="94"/>
        <v>0</v>
      </c>
      <c r="T67" s="267"/>
      <c r="X67" s="24">
        <f t="shared" si="95"/>
        <v>0</v>
      </c>
      <c r="Y67" s="24">
        <f t="shared" si="95"/>
        <v>0</v>
      </c>
      <c r="Z67" s="24"/>
      <c r="AD67" s="24">
        <f t="shared" si="96"/>
        <v>-0.007009345794392607</v>
      </c>
      <c r="AE67" s="24">
        <f t="shared" si="96"/>
        <v>-0.008818342151675429</v>
      </c>
      <c r="AF67" s="267"/>
      <c r="AR67" s="260"/>
      <c r="BD67" s="260"/>
      <c r="BP67" s="260"/>
      <c r="CB67" s="260"/>
      <c r="CE67" s="148"/>
    </row>
    <row r="68" spans="1:83" s="42" customFormat="1" ht="18">
      <c r="A68" s="146"/>
      <c r="B68" s="1" t="s">
        <v>10</v>
      </c>
      <c r="C68" s="41"/>
      <c r="D68" s="41"/>
      <c r="E68" s="41"/>
      <c r="F68" s="44"/>
      <c r="G68" s="44"/>
      <c r="H68" s="260"/>
      <c r="L68" s="24">
        <f t="shared" si="93"/>
        <v>0.002564102564102555</v>
      </c>
      <c r="M68" s="24">
        <f t="shared" si="93"/>
        <v>-0.008447729672650506</v>
      </c>
      <c r="N68" s="24">
        <f>IF(OR(N13="n/a",N39="n/a"),,N13/N39-1)</f>
        <v>-0.04434782608695653</v>
      </c>
      <c r="R68" s="24">
        <f t="shared" si="94"/>
        <v>0.021739130434782705</v>
      </c>
      <c r="S68" s="24">
        <f t="shared" si="94"/>
        <v>-0.015596330275229331</v>
      </c>
      <c r="T68" s="267">
        <f>IF(OR(T13="n/a",T39="n/a"),,T13/T39-1)</f>
        <v>-0.1121951219512195</v>
      </c>
      <c r="X68" s="24">
        <f t="shared" si="95"/>
        <v>-0.00170068027210879</v>
      </c>
      <c r="Y68" s="24">
        <f t="shared" si="95"/>
        <v>-0.0015015015015014122</v>
      </c>
      <c r="Z68" s="24">
        <f>IF(OR(Z13="n/a",Z39="n/a"),,Z13/Z39-1)</f>
        <v>-0.051603905160390595</v>
      </c>
      <c r="AD68" s="24">
        <f t="shared" si="96"/>
        <v>0</v>
      </c>
      <c r="AE68" s="24">
        <f t="shared" si="96"/>
        <v>0.006993006993007089</v>
      </c>
      <c r="AF68" s="267">
        <f>IF(OR(AF13="n/a",AF39="n/a"),,AF13/AF39-1)</f>
        <v>-0.09348441926345596</v>
      </c>
      <c r="AR68" s="260"/>
      <c r="BD68" s="260"/>
      <c r="BP68" s="260"/>
      <c r="CB68" s="260"/>
      <c r="CE68" s="148"/>
    </row>
    <row r="69" spans="1:83" s="42" customFormat="1" ht="18">
      <c r="A69" s="146"/>
      <c r="B69" s="1" t="s">
        <v>9</v>
      </c>
      <c r="C69" s="41"/>
      <c r="D69" s="41"/>
      <c r="E69" s="41"/>
      <c r="F69" s="44"/>
      <c r="G69" s="44"/>
      <c r="H69" s="260"/>
      <c r="L69" s="24">
        <f t="shared" si="93"/>
        <v>0.0029156930457618913</v>
      </c>
      <c r="M69" s="24">
        <f t="shared" si="93"/>
        <v>-0.009380954232608762</v>
      </c>
      <c r="N69" s="24"/>
      <c r="R69" s="24">
        <f t="shared" si="94"/>
        <v>0.021400072542618886</v>
      </c>
      <c r="S69" s="24">
        <f t="shared" si="94"/>
        <v>-0.0202129301033791</v>
      </c>
      <c r="T69" s="267"/>
      <c r="X69" s="24">
        <f t="shared" si="95"/>
        <v>-0.03420608108108114</v>
      </c>
      <c r="Y69" s="24">
        <f t="shared" si="95"/>
        <v>-0.026687598116169498</v>
      </c>
      <c r="Z69" s="24"/>
      <c r="AD69" s="24">
        <f t="shared" si="96"/>
        <v>-42.55555555555556</v>
      </c>
      <c r="AE69" s="24">
        <f t="shared" si="96"/>
        <v>1.8814432989690721</v>
      </c>
      <c r="AF69" s="267"/>
      <c r="AR69" s="260"/>
      <c r="BD69" s="260"/>
      <c r="BP69" s="260"/>
      <c r="CB69" s="260"/>
      <c r="CE69" s="148"/>
    </row>
    <row r="70" spans="1:83" s="42" customFormat="1" ht="18">
      <c r="A70" s="146"/>
      <c r="B70" s="1" t="s">
        <v>8</v>
      </c>
      <c r="C70" s="41"/>
      <c r="D70" s="41"/>
      <c r="E70" s="41"/>
      <c r="F70" s="44"/>
      <c r="G70" s="44"/>
      <c r="H70" s="260"/>
      <c r="L70" s="24">
        <f t="shared" si="93"/>
        <v>0</v>
      </c>
      <c r="M70" s="24">
        <f t="shared" si="93"/>
        <v>0</v>
      </c>
      <c r="N70" s="24"/>
      <c r="R70" s="24">
        <f t="shared" si="94"/>
        <v>0</v>
      </c>
      <c r="S70" s="24">
        <f t="shared" si="94"/>
        <v>0</v>
      </c>
      <c r="T70" s="267"/>
      <c r="X70" s="24">
        <f t="shared" si="95"/>
        <v>0</v>
      </c>
      <c r="Y70" s="24">
        <f t="shared" si="95"/>
        <v>0</v>
      </c>
      <c r="Z70" s="24"/>
      <c r="AD70" s="24">
        <f t="shared" si="96"/>
        <v>0</v>
      </c>
      <c r="AE70" s="24">
        <f t="shared" si="96"/>
        <v>0</v>
      </c>
      <c r="AF70" s="267"/>
      <c r="AR70" s="260"/>
      <c r="BD70" s="260"/>
      <c r="BP70" s="260"/>
      <c r="CB70" s="260"/>
      <c r="CE70" s="148"/>
    </row>
    <row r="71" spans="1:83" s="42" customFormat="1" ht="18">
      <c r="A71" s="146"/>
      <c r="B71" s="1" t="s">
        <v>7</v>
      </c>
      <c r="C71" s="41"/>
      <c r="D71" s="41"/>
      <c r="E71" s="41"/>
      <c r="F71" s="44"/>
      <c r="G71" s="44"/>
      <c r="H71" s="260"/>
      <c r="L71" s="24">
        <f t="shared" si="93"/>
        <v>0.0013623978201635634</v>
      </c>
      <c r="M71" s="24">
        <f t="shared" si="93"/>
        <v>0.037234042553191404</v>
      </c>
      <c r="N71" s="24"/>
      <c r="R71" s="24">
        <f t="shared" si="94"/>
        <v>0.021333333333333426</v>
      </c>
      <c r="S71" s="24">
        <f t="shared" si="94"/>
        <v>0.005867560771165126</v>
      </c>
      <c r="T71" s="267"/>
      <c r="X71" s="24">
        <f t="shared" si="95"/>
        <v>-0.2133738601823708</v>
      </c>
      <c r="Y71" s="24">
        <f t="shared" si="95"/>
        <v>-0.1327611191617435</v>
      </c>
      <c r="Z71" s="24"/>
      <c r="AD71" s="24">
        <f t="shared" si="96"/>
        <v>0.17021276595744705</v>
      </c>
      <c r="AE71" s="24">
        <f t="shared" si="96"/>
        <v>0</v>
      </c>
      <c r="AF71" s="267"/>
      <c r="AR71" s="260"/>
      <c r="BD71" s="260"/>
      <c r="BP71" s="260"/>
      <c r="CB71" s="260"/>
      <c r="CE71" s="148"/>
    </row>
    <row r="72" spans="1:83" s="42" customFormat="1" ht="18">
      <c r="A72" s="146"/>
      <c r="B72" s="1" t="s">
        <v>6</v>
      </c>
      <c r="C72" s="41"/>
      <c r="D72" s="41"/>
      <c r="E72" s="41"/>
      <c r="F72" s="44"/>
      <c r="G72" s="44"/>
      <c r="H72" s="260"/>
      <c r="L72" s="24">
        <f t="shared" si="93"/>
        <v>-0.013570662122072807</v>
      </c>
      <c r="M72" s="24">
        <f t="shared" si="93"/>
        <v>-0.024597849433763974</v>
      </c>
      <c r="N72" s="24"/>
      <c r="R72" s="24">
        <f t="shared" si="94"/>
        <v>0.0728423590877123</v>
      </c>
      <c r="S72" s="24">
        <f t="shared" si="94"/>
        <v>0.11771321462043094</v>
      </c>
      <c r="T72" s="267"/>
      <c r="X72" s="24">
        <f t="shared" si="95"/>
        <v>-0.012226599646787073</v>
      </c>
      <c r="Y72" s="24">
        <f t="shared" si="95"/>
        <v>0.08792401628222524</v>
      </c>
      <c r="Z72" s="24"/>
      <c r="AD72" s="24">
        <f t="shared" si="96"/>
        <v>-0.013452914798206206</v>
      </c>
      <c r="AE72" s="24">
        <f t="shared" si="96"/>
        <v>-0.0019342359767891004</v>
      </c>
      <c r="AF72" s="267"/>
      <c r="AR72" s="260"/>
      <c r="BD72" s="260"/>
      <c r="BP72" s="260"/>
      <c r="CB72" s="260"/>
      <c r="CE72" s="148"/>
    </row>
    <row r="73" spans="1:83" s="42" customFormat="1" ht="18">
      <c r="A73" s="146"/>
      <c r="B73" s="1" t="s">
        <v>5</v>
      </c>
      <c r="C73" s="41"/>
      <c r="D73" s="41"/>
      <c r="E73" s="41"/>
      <c r="F73" s="44"/>
      <c r="G73" s="44"/>
      <c r="H73" s="260"/>
      <c r="L73" s="24">
        <f t="shared" si="93"/>
        <v>0.048464739592494865</v>
      </c>
      <c r="M73" s="24">
        <f t="shared" si="93"/>
        <v>0.03314226601520254</v>
      </c>
      <c r="N73" s="24"/>
      <c r="R73" s="24">
        <f t="shared" si="94"/>
        <v>-0.0014065492821253578</v>
      </c>
      <c r="S73" s="24">
        <f t="shared" si="94"/>
        <v>-0.04646238186149443</v>
      </c>
      <c r="T73" s="267"/>
      <c r="X73" s="24">
        <f t="shared" si="95"/>
        <v>-0.0046518243791437985</v>
      </c>
      <c r="Y73" s="24">
        <f t="shared" si="95"/>
        <v>-0.03302986652996631</v>
      </c>
      <c r="Z73" s="24"/>
      <c r="AD73" s="24">
        <f t="shared" si="96"/>
        <v>0.047542100875647364</v>
      </c>
      <c r="AE73" s="24">
        <f t="shared" si="96"/>
        <v>0.07551804342355695</v>
      </c>
      <c r="AF73" s="267"/>
      <c r="AR73" s="260"/>
      <c r="BD73" s="260"/>
      <c r="BP73" s="260"/>
      <c r="CB73" s="260"/>
      <c r="CE73" s="148"/>
    </row>
    <row r="74" spans="1:83" s="42" customFormat="1" ht="18">
      <c r="A74" s="146"/>
      <c r="B74" s="1" t="s">
        <v>4</v>
      </c>
      <c r="C74" s="41"/>
      <c r="D74" s="41"/>
      <c r="E74" s="41"/>
      <c r="F74" s="44"/>
      <c r="G74" s="44"/>
      <c r="H74" s="260"/>
      <c r="L74" s="24">
        <f t="shared" si="93"/>
        <v>0.0022372774539152207</v>
      </c>
      <c r="M74" s="24">
        <f t="shared" si="93"/>
        <v>0.0005611672278336144</v>
      </c>
      <c r="N74" s="24"/>
      <c r="R74" s="24">
        <f t="shared" si="94"/>
        <v>0.005107941403238447</v>
      </c>
      <c r="S74" s="24">
        <f t="shared" si="94"/>
        <v>0.020821411277897717</v>
      </c>
      <c r="T74" s="267"/>
      <c r="X74" s="24">
        <f t="shared" si="95"/>
        <v>0.00725471113863585</v>
      </c>
      <c r="Y74" s="24">
        <f t="shared" si="95"/>
        <v>0.00245342329218734</v>
      </c>
      <c r="Z74" s="24"/>
      <c r="AD74" s="24">
        <f t="shared" si="96"/>
        <v>-0.028735632183908066</v>
      </c>
      <c r="AE74" s="24">
        <f t="shared" si="96"/>
        <v>-0.08444444444444443</v>
      </c>
      <c r="AF74" s="267"/>
      <c r="AR74" s="260"/>
      <c r="BD74" s="260"/>
      <c r="BP74" s="260"/>
      <c r="CB74" s="260"/>
      <c r="CE74" s="148"/>
    </row>
    <row r="75" spans="1:83" s="42" customFormat="1" ht="18">
      <c r="A75" s="146"/>
      <c r="B75" s="1" t="s">
        <v>3</v>
      </c>
      <c r="C75" s="41"/>
      <c r="D75" s="41"/>
      <c r="E75" s="41"/>
      <c r="F75" s="44"/>
      <c r="G75" s="44"/>
      <c r="H75" s="260"/>
      <c r="L75" s="24">
        <f t="shared" si="93"/>
        <v>-0.00402263501045641</v>
      </c>
      <c r="M75" s="24">
        <f t="shared" si="93"/>
        <v>-0.01475314392175131</v>
      </c>
      <c r="N75" s="24"/>
      <c r="R75" s="24">
        <f t="shared" si="94"/>
        <v>0</v>
      </c>
      <c r="S75" s="24">
        <f t="shared" si="94"/>
        <v>0</v>
      </c>
      <c r="T75" s="267"/>
      <c r="X75" s="24">
        <f t="shared" si="95"/>
        <v>0</v>
      </c>
      <c r="Y75" s="24">
        <f t="shared" si="95"/>
        <v>0</v>
      </c>
      <c r="Z75" s="24"/>
      <c r="AD75" s="24">
        <f t="shared" si="96"/>
        <v>0.011428571428571344</v>
      </c>
      <c r="AE75" s="24">
        <f t="shared" si="96"/>
        <v>-0.03201970443349744</v>
      </c>
      <c r="AF75" s="267"/>
      <c r="AR75" s="260"/>
      <c r="BD75" s="260"/>
      <c r="BP75" s="260"/>
      <c r="CB75" s="260"/>
      <c r="CE75" s="148"/>
    </row>
    <row r="76" spans="1:83" s="42" customFormat="1" ht="18">
      <c r="A76" s="146"/>
      <c r="B76" s="1" t="s">
        <v>2</v>
      </c>
      <c r="C76" s="41"/>
      <c r="D76" s="41"/>
      <c r="E76" s="41"/>
      <c r="F76" s="44"/>
      <c r="G76" s="44"/>
      <c r="H76" s="260"/>
      <c r="L76" s="24">
        <f t="shared" si="93"/>
        <v>0.0008621476605370493</v>
      </c>
      <c r="M76" s="24">
        <f t="shared" si="93"/>
        <v>-0.005109941158253251</v>
      </c>
      <c r="N76" s="24"/>
      <c r="R76" s="24">
        <f t="shared" si="94"/>
        <v>-0.0008759124087591719</v>
      </c>
      <c r="S76" s="24">
        <f t="shared" si="94"/>
        <v>-0.009277257465983402</v>
      </c>
      <c r="T76" s="267"/>
      <c r="X76" s="24">
        <f t="shared" si="95"/>
        <v>0.0167489800300622</v>
      </c>
      <c r="Y76" s="24">
        <f t="shared" si="95"/>
        <v>0.004555010511562818</v>
      </c>
      <c r="Z76" s="24"/>
      <c r="AD76" s="24">
        <f t="shared" si="96"/>
        <v>0.27802690582959655</v>
      </c>
      <c r="AE76" s="24">
        <f t="shared" si="96"/>
        <v>0.15806451612903216</v>
      </c>
      <c r="AF76" s="267"/>
      <c r="AR76" s="260"/>
      <c r="BD76" s="260"/>
      <c r="BP76" s="260"/>
      <c r="CB76" s="260"/>
      <c r="CE76" s="148"/>
    </row>
    <row r="77" spans="1:83" s="42" customFormat="1" ht="18">
      <c r="A77" s="146"/>
      <c r="B77" s="1" t="s">
        <v>1</v>
      </c>
      <c r="C77" s="41"/>
      <c r="D77" s="41"/>
      <c r="E77" s="41"/>
      <c r="F77" s="44"/>
      <c r="G77" s="44"/>
      <c r="H77" s="260"/>
      <c r="L77" s="24">
        <f t="shared" si="93"/>
        <v>-0.006607808729984677</v>
      </c>
      <c r="M77" s="24">
        <f t="shared" si="93"/>
        <v>-0.015928725701943813</v>
      </c>
      <c r="N77" s="24"/>
      <c r="R77" s="24">
        <f t="shared" si="94"/>
        <v>0</v>
      </c>
      <c r="S77" s="24">
        <f t="shared" si="94"/>
        <v>0</v>
      </c>
      <c r="T77" s="267"/>
      <c r="X77" s="24">
        <f t="shared" si="95"/>
        <v>0</v>
      </c>
      <c r="Y77" s="24">
        <f t="shared" si="95"/>
        <v>0</v>
      </c>
      <c r="Z77" s="24"/>
      <c r="AD77" s="24">
        <f t="shared" si="96"/>
        <v>0.020000000000000018</v>
      </c>
      <c r="AE77" s="24">
        <f t="shared" si="96"/>
        <v>0</v>
      </c>
      <c r="AF77" s="267"/>
      <c r="AR77" s="260"/>
      <c r="BD77" s="260"/>
      <c r="BP77" s="260"/>
      <c r="CB77" s="260"/>
      <c r="CE77" s="148"/>
    </row>
    <row r="78" spans="1:83" s="42" customFormat="1" ht="18">
      <c r="A78" s="146"/>
      <c r="B78" s="1" t="s">
        <v>0</v>
      </c>
      <c r="C78" s="41"/>
      <c r="D78" s="41"/>
      <c r="E78" s="41"/>
      <c r="F78" s="44"/>
      <c r="G78" s="44"/>
      <c r="H78" s="260"/>
      <c r="L78" s="24">
        <f t="shared" si="93"/>
        <v>-0.06105834464043414</v>
      </c>
      <c r="M78" s="24">
        <f t="shared" si="93"/>
        <v>-0.04415422885572151</v>
      </c>
      <c r="N78" s="24">
        <f>IF(OR(N23="n/a",N49="n/a"),,N23/N49-1)</f>
        <v>-0.06364139457664642</v>
      </c>
      <c r="R78" s="24">
        <f t="shared" si="94"/>
        <v>-0.09523809523809512</v>
      </c>
      <c r="S78" s="24">
        <f t="shared" si="94"/>
        <v>-0.009375000000000022</v>
      </c>
      <c r="T78" s="267">
        <f>IF(OR(T23="n/a",T49="n/a"),,T23/T49-1)</f>
        <v>0</v>
      </c>
      <c r="X78" s="24">
        <f t="shared" si="95"/>
        <v>-0.07729468599033806</v>
      </c>
      <c r="Y78" s="24">
        <f t="shared" si="95"/>
        <v>-0.017167381974249052</v>
      </c>
      <c r="Z78" s="24">
        <f>IF(OR(Z23="n/a",Z49="n/a"),,Z23/Z49-1)</f>
        <v>-0.008163265306122436</v>
      </c>
      <c r="AD78" s="24">
        <f t="shared" si="96"/>
        <v>-0.017902813299232823</v>
      </c>
      <c r="AE78" s="24">
        <f t="shared" si="96"/>
        <v>0.09708737864077666</v>
      </c>
      <c r="AF78" s="267">
        <f>IF(OR(AF23="n/a",AF49="n/a"),,AF23/AF49-1)</f>
        <v>0.004319654427645814</v>
      </c>
      <c r="AR78" s="260"/>
      <c r="BD78" s="260"/>
      <c r="BP78" s="260"/>
      <c r="CB78" s="260"/>
      <c r="CE78" s="148"/>
    </row>
    <row r="79" spans="1:83" ht="13.5" thickBot="1">
      <c r="A79" s="150"/>
      <c r="B79" s="151"/>
      <c r="C79" s="151"/>
      <c r="D79" s="151"/>
      <c r="E79" s="151"/>
      <c r="F79" s="151"/>
      <c r="G79" s="151"/>
      <c r="H79" s="152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2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2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2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2"/>
      <c r="BE79" s="151"/>
      <c r="BF79" s="151"/>
      <c r="BG79" s="151"/>
      <c r="BH79" s="151"/>
      <c r="BI79" s="151"/>
      <c r="BJ79" s="151"/>
      <c r="BK79" s="151"/>
      <c r="BL79" s="151"/>
      <c r="BM79" s="151"/>
      <c r="BN79" s="151"/>
      <c r="BO79" s="151"/>
      <c r="BP79" s="152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2"/>
      <c r="CC79" s="151"/>
      <c r="CD79" s="151"/>
      <c r="CE79" s="152"/>
    </row>
    <row r="80" ht="13.5" thickTop="1"/>
  </sheetData>
  <sheetProtection/>
  <mergeCells count="7">
    <mergeCell ref="G2:H2"/>
    <mergeCell ref="C3:C4"/>
    <mergeCell ref="D3:D4"/>
    <mergeCell ref="E3:E4"/>
    <mergeCell ref="C29:C30"/>
    <mergeCell ref="D29:D30"/>
    <mergeCell ref="E29:E3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59"/>
  <colBreaks count="11" manualBreakCount="11">
    <brk id="8" max="25" man="1"/>
    <brk id="8" min="26" max="55" man="1"/>
    <brk id="8" min="56" max="78" man="1"/>
    <brk id="20" max="78" man="1"/>
    <brk id="32" max="78" man="1"/>
    <brk id="44" max="65535" man="1"/>
    <brk id="56" max="65535" man="1"/>
    <brk id="68" max="78" man="1"/>
    <brk id="80" max="25" man="1"/>
    <brk id="80" min="26" max="55" man="1"/>
    <brk id="80" min="56" max="7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L58"/>
  <sheetViews>
    <sheetView showGridLines="0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1.57421875" defaultRowHeight="21" customHeight="1"/>
  <cols>
    <col min="1" max="1" width="2.7109375" style="176" customWidth="1"/>
    <col min="2" max="2" width="11.421875" style="176" customWidth="1"/>
    <col min="3" max="3" width="20.8515625" style="176" bestFit="1" customWidth="1"/>
    <col min="4" max="11" width="12.7109375" style="176" customWidth="1"/>
    <col min="12" max="12" width="12.7109375" style="189" customWidth="1"/>
    <col min="13" max="13" width="12.421875" style="190" bestFit="1" customWidth="1"/>
    <col min="14" max="14" width="12.421875" style="176" bestFit="1" customWidth="1"/>
    <col min="15" max="15" width="11.7109375" style="176" bestFit="1" customWidth="1"/>
    <col min="16" max="16" width="11.421875" style="176" bestFit="1" customWidth="1"/>
    <col min="17" max="18" width="11.7109375" style="176" bestFit="1" customWidth="1"/>
    <col min="19" max="20" width="11.421875" style="176" bestFit="1" customWidth="1"/>
    <col min="21" max="21" width="11.421875" style="190" customWidth="1"/>
    <col min="22" max="28" width="11.421875" style="176" customWidth="1"/>
    <col min="29" max="29" width="11.421875" style="190" customWidth="1"/>
    <col min="30" max="36" width="11.421875" style="176" customWidth="1"/>
    <col min="37" max="37" width="11.421875" style="190" customWidth="1"/>
    <col min="38" max="44" width="11.421875" style="176" customWidth="1"/>
    <col min="45" max="45" width="11.421875" style="190" customWidth="1"/>
    <col min="46" max="52" width="11.421875" style="176" customWidth="1"/>
    <col min="53" max="53" width="11.421875" style="190" customWidth="1"/>
    <col min="54" max="54" width="11.421875" style="191" customWidth="1"/>
    <col min="55" max="60" width="11.421875" style="176" customWidth="1"/>
    <col min="61" max="61" width="11.421875" style="190" customWidth="1"/>
    <col min="62" max="62" width="11.421875" style="176" customWidth="1"/>
    <col min="63" max="63" width="2.7109375" style="191" customWidth="1"/>
    <col min="64" max="16384" width="11.421875" style="176" customWidth="1"/>
  </cols>
  <sheetData>
    <row r="1" spans="1:63" ht="21" customHeight="1" thickTop="1">
      <c r="A1" s="194"/>
      <c r="B1" s="195"/>
      <c r="C1" s="195"/>
      <c r="D1" s="196"/>
      <c r="E1" s="196"/>
      <c r="F1" s="196"/>
      <c r="G1" s="196"/>
      <c r="H1" s="196"/>
      <c r="I1" s="196"/>
      <c r="J1" s="196"/>
      <c r="K1" s="196"/>
      <c r="L1" s="222"/>
      <c r="M1" s="276" t="s">
        <v>89</v>
      </c>
      <c r="N1" s="277"/>
      <c r="O1" s="277"/>
      <c r="P1" s="277"/>
      <c r="Q1" s="277"/>
      <c r="R1" s="277"/>
      <c r="S1" s="277"/>
      <c r="T1" s="278"/>
      <c r="U1" s="276" t="s">
        <v>94</v>
      </c>
      <c r="V1" s="277"/>
      <c r="W1" s="277"/>
      <c r="X1" s="277"/>
      <c r="Y1" s="277"/>
      <c r="Z1" s="277"/>
      <c r="AA1" s="277"/>
      <c r="AB1" s="278"/>
      <c r="AC1" s="276" t="s">
        <v>95</v>
      </c>
      <c r="AD1" s="277"/>
      <c r="AE1" s="277"/>
      <c r="AF1" s="277"/>
      <c r="AG1" s="277"/>
      <c r="AH1" s="277"/>
      <c r="AI1" s="277"/>
      <c r="AJ1" s="278"/>
      <c r="AK1" s="276" t="s">
        <v>93</v>
      </c>
      <c r="AL1" s="277"/>
      <c r="AM1" s="277"/>
      <c r="AN1" s="277"/>
      <c r="AO1" s="277"/>
      <c r="AP1" s="277"/>
      <c r="AQ1" s="277"/>
      <c r="AR1" s="278"/>
      <c r="AS1" s="276" t="s">
        <v>93</v>
      </c>
      <c r="AT1" s="277"/>
      <c r="AU1" s="277"/>
      <c r="AV1" s="277"/>
      <c r="AW1" s="277"/>
      <c r="AX1" s="277"/>
      <c r="AY1" s="277"/>
      <c r="AZ1" s="278"/>
      <c r="BA1" s="196"/>
      <c r="BB1" s="196"/>
      <c r="BC1" s="196"/>
      <c r="BD1" s="196"/>
      <c r="BE1" s="196"/>
      <c r="BF1" s="196"/>
      <c r="BG1" s="196"/>
      <c r="BH1" s="196"/>
      <c r="BI1" s="197"/>
      <c r="BJ1" s="232"/>
      <c r="BK1" s="235"/>
    </row>
    <row r="2" spans="1:63" ht="21" customHeight="1">
      <c r="A2" s="198"/>
      <c r="B2" s="185"/>
      <c r="C2" s="185" t="s">
        <v>80</v>
      </c>
      <c r="D2" s="274" t="s">
        <v>45</v>
      </c>
      <c r="E2" s="274" t="str">
        <f>+'PG-Ermittlung Market Cap &amp; EV'!L2</f>
        <v>Market Cap</v>
      </c>
      <c r="F2" s="274" t="s">
        <v>130</v>
      </c>
      <c r="G2" s="274" t="s">
        <v>131</v>
      </c>
      <c r="H2" s="274" t="s">
        <v>75</v>
      </c>
      <c r="I2" s="274" t="s">
        <v>132</v>
      </c>
      <c r="J2" s="274" t="s">
        <v>133</v>
      </c>
      <c r="K2" s="274" t="s">
        <v>78</v>
      </c>
      <c r="L2" s="273" t="str">
        <f>+'PG-Ermittlung Market Cap &amp; EV'!M2</f>
        <v>Enterprise Value</v>
      </c>
      <c r="M2" s="279" t="s">
        <v>21</v>
      </c>
      <c r="N2" s="271"/>
      <c r="O2" s="271" t="s">
        <v>25</v>
      </c>
      <c r="P2" s="271"/>
      <c r="Q2" s="271" t="s">
        <v>26</v>
      </c>
      <c r="R2" s="271"/>
      <c r="S2" s="271" t="s">
        <v>27</v>
      </c>
      <c r="T2" s="272"/>
      <c r="U2" s="279" t="s">
        <v>21</v>
      </c>
      <c r="V2" s="271"/>
      <c r="W2" s="271" t="s">
        <v>25</v>
      </c>
      <c r="X2" s="271"/>
      <c r="Y2" s="271" t="s">
        <v>26</v>
      </c>
      <c r="Z2" s="271"/>
      <c r="AA2" s="271" t="s">
        <v>27</v>
      </c>
      <c r="AB2" s="272"/>
      <c r="AC2" s="279" t="s">
        <v>21</v>
      </c>
      <c r="AD2" s="271"/>
      <c r="AE2" s="271" t="s">
        <v>25</v>
      </c>
      <c r="AF2" s="271"/>
      <c r="AG2" s="271" t="s">
        <v>26</v>
      </c>
      <c r="AH2" s="271"/>
      <c r="AI2" s="271" t="s">
        <v>27</v>
      </c>
      <c r="AJ2" s="272"/>
      <c r="AK2" s="279" t="s">
        <v>21</v>
      </c>
      <c r="AL2" s="271"/>
      <c r="AM2" s="271" t="s">
        <v>25</v>
      </c>
      <c r="AN2" s="271"/>
      <c r="AO2" s="271" t="s">
        <v>26</v>
      </c>
      <c r="AP2" s="271"/>
      <c r="AQ2" s="271" t="s">
        <v>27</v>
      </c>
      <c r="AR2" s="272"/>
      <c r="AS2" s="279" t="s">
        <v>64</v>
      </c>
      <c r="AT2" s="271"/>
      <c r="AU2" s="271" t="s">
        <v>65</v>
      </c>
      <c r="AV2" s="271"/>
      <c r="AW2" s="14" t="s">
        <v>90</v>
      </c>
      <c r="AX2" s="14" t="s">
        <v>86</v>
      </c>
      <c r="AY2" s="14" t="s">
        <v>87</v>
      </c>
      <c r="AZ2" s="199" t="s">
        <v>88</v>
      </c>
      <c r="BA2" s="271" t="s">
        <v>134</v>
      </c>
      <c r="BB2" s="271"/>
      <c r="BC2" s="271" t="s">
        <v>58</v>
      </c>
      <c r="BD2" s="271"/>
      <c r="BE2" s="271" t="s">
        <v>59</v>
      </c>
      <c r="BF2" s="271"/>
      <c r="BG2" s="271" t="s">
        <v>60</v>
      </c>
      <c r="BH2" s="275"/>
      <c r="BI2" s="118"/>
      <c r="BJ2" s="233"/>
      <c r="BK2" s="235"/>
    </row>
    <row r="3" spans="1:63" ht="21" customHeight="1">
      <c r="A3" s="198"/>
      <c r="B3" s="185"/>
      <c r="C3" s="185"/>
      <c r="D3" s="274"/>
      <c r="E3" s="274"/>
      <c r="F3" s="274"/>
      <c r="G3" s="274"/>
      <c r="H3" s="274"/>
      <c r="I3" s="274"/>
      <c r="J3" s="274"/>
      <c r="K3" s="274"/>
      <c r="L3" s="273"/>
      <c r="M3" s="214"/>
      <c r="N3" s="14"/>
      <c r="O3" s="14"/>
      <c r="P3" s="14"/>
      <c r="Q3" s="14"/>
      <c r="R3" s="14"/>
      <c r="S3" s="14"/>
      <c r="T3" s="199"/>
      <c r="U3" s="214"/>
      <c r="V3" s="14"/>
      <c r="W3" s="14"/>
      <c r="X3" s="14"/>
      <c r="Y3" s="14"/>
      <c r="Z3" s="14"/>
      <c r="AA3" s="14"/>
      <c r="AB3" s="199"/>
      <c r="AC3" s="214"/>
      <c r="AD3" s="14"/>
      <c r="AE3" s="14"/>
      <c r="AF3" s="14"/>
      <c r="AG3" s="14"/>
      <c r="AH3" s="14"/>
      <c r="AI3" s="14"/>
      <c r="AJ3" s="199"/>
      <c r="AK3" s="214"/>
      <c r="AL3" s="14"/>
      <c r="AM3" s="14"/>
      <c r="AN3" s="14"/>
      <c r="AO3" s="14"/>
      <c r="AP3" s="14"/>
      <c r="AQ3" s="14"/>
      <c r="AR3" s="199"/>
      <c r="AS3" s="214"/>
      <c r="AT3" s="14"/>
      <c r="AU3" s="14"/>
      <c r="AV3" s="14"/>
      <c r="AW3" s="14"/>
      <c r="AX3" s="14"/>
      <c r="AY3" s="14"/>
      <c r="AZ3" s="199"/>
      <c r="BA3" s="14"/>
      <c r="BB3" s="14"/>
      <c r="BC3" s="14"/>
      <c r="BD3" s="14"/>
      <c r="BE3" s="14"/>
      <c r="BF3" s="14"/>
      <c r="BG3" s="14"/>
      <c r="BH3" s="14"/>
      <c r="BI3" s="118"/>
      <c r="BJ3" s="233"/>
      <c r="BK3" s="235"/>
    </row>
    <row r="4" spans="1:63" ht="21" customHeight="1">
      <c r="A4" s="198"/>
      <c r="B4" s="185"/>
      <c r="C4" s="185"/>
      <c r="D4" s="274"/>
      <c r="E4" s="274"/>
      <c r="F4" s="274"/>
      <c r="G4" s="274"/>
      <c r="H4" s="274"/>
      <c r="I4" s="274"/>
      <c r="J4" s="274"/>
      <c r="K4" s="274"/>
      <c r="L4" s="273"/>
      <c r="M4" s="214">
        <v>2002</v>
      </c>
      <c r="N4" s="14">
        <v>2003</v>
      </c>
      <c r="O4" s="14">
        <v>2002</v>
      </c>
      <c r="P4" s="14">
        <v>2003</v>
      </c>
      <c r="Q4" s="14">
        <v>2002</v>
      </c>
      <c r="R4" s="14">
        <v>2003</v>
      </c>
      <c r="S4" s="14">
        <v>2002</v>
      </c>
      <c r="T4" s="199">
        <v>2003</v>
      </c>
      <c r="U4" s="214">
        <v>2002</v>
      </c>
      <c r="V4" s="14">
        <v>2003</v>
      </c>
      <c r="W4" s="14">
        <v>2002</v>
      </c>
      <c r="X4" s="14">
        <v>2003</v>
      </c>
      <c r="Y4" s="14">
        <v>2002</v>
      </c>
      <c r="Z4" s="14">
        <v>2003</v>
      </c>
      <c r="AA4" s="14">
        <v>2002</v>
      </c>
      <c r="AB4" s="199">
        <v>2003</v>
      </c>
      <c r="AC4" s="214">
        <v>2002</v>
      </c>
      <c r="AD4" s="14">
        <v>2003</v>
      </c>
      <c r="AE4" s="14">
        <v>2002</v>
      </c>
      <c r="AF4" s="14">
        <v>2003</v>
      </c>
      <c r="AG4" s="14">
        <v>2002</v>
      </c>
      <c r="AH4" s="14">
        <v>2003</v>
      </c>
      <c r="AI4" s="14">
        <v>2002</v>
      </c>
      <c r="AJ4" s="199">
        <v>2003</v>
      </c>
      <c r="AK4" s="214">
        <v>2002</v>
      </c>
      <c r="AL4" s="14">
        <v>2003</v>
      </c>
      <c r="AM4" s="14">
        <v>2002</v>
      </c>
      <c r="AN4" s="14">
        <v>2003</v>
      </c>
      <c r="AO4" s="14">
        <v>2002</v>
      </c>
      <c r="AP4" s="14">
        <v>2003</v>
      </c>
      <c r="AQ4" s="14">
        <v>2002</v>
      </c>
      <c r="AR4" s="199">
        <v>2003</v>
      </c>
      <c r="AS4" s="214">
        <v>2002</v>
      </c>
      <c r="AT4" s="14">
        <v>2003</v>
      </c>
      <c r="AU4" s="14">
        <v>2002</v>
      </c>
      <c r="AV4" s="14">
        <v>2003</v>
      </c>
      <c r="AW4" s="14" t="s">
        <v>91</v>
      </c>
      <c r="AX4" s="14"/>
      <c r="AY4" s="14"/>
      <c r="AZ4" s="199"/>
      <c r="BA4" s="14">
        <v>2002</v>
      </c>
      <c r="BB4" s="14">
        <v>2003</v>
      </c>
      <c r="BC4" s="14">
        <v>2002</v>
      </c>
      <c r="BD4" s="14">
        <v>2003</v>
      </c>
      <c r="BE4" s="14">
        <v>2002</v>
      </c>
      <c r="BF4" s="14">
        <v>2003</v>
      </c>
      <c r="BG4" s="14">
        <v>2002</v>
      </c>
      <c r="BH4" s="14">
        <v>2003</v>
      </c>
      <c r="BI4" s="118" t="s">
        <v>92</v>
      </c>
      <c r="BJ4" s="233" t="s">
        <v>36</v>
      </c>
      <c r="BK4" s="235"/>
    </row>
    <row r="5" spans="1:62" ht="21" customHeight="1">
      <c r="A5" s="198"/>
      <c r="B5" s="185" t="s">
        <v>54</v>
      </c>
      <c r="C5" s="185" t="s">
        <v>18</v>
      </c>
      <c r="D5" s="200">
        <f>+'PG-Ermittlung Market Cap &amp; EV'!K5</f>
        <v>44.1</v>
      </c>
      <c r="E5" s="193">
        <f>+'PG-Ermittlung Market Cap &amp; EV'!L5</f>
        <v>441</v>
      </c>
      <c r="F5" s="193">
        <f>+'PG-Ermittlung Market Cap &amp; EV'!F5</f>
        <v>4</v>
      </c>
      <c r="G5" s="193">
        <f>+'PG-Ermittlung Market Cap &amp; EV'!G5</f>
        <v>107.232</v>
      </c>
      <c r="H5" s="193">
        <f>+'PG-Ermittlung Market Cap &amp; EV'!H5</f>
        <v>2.2</v>
      </c>
      <c r="I5" s="193">
        <f>+'PG-Ermittlung Market Cap &amp; EV'!I5</f>
        <v>11.2</v>
      </c>
      <c r="J5" s="193">
        <f>+'PG-Ermittlung Market Cap &amp; EV'!J5</f>
        <v>24.424999999999997</v>
      </c>
      <c r="K5" s="193">
        <f aca="true" t="shared" si="0" ref="K5:K23">+ROUND(J5,0)+ROUND(I5,0)+ROUND(H5,0)-ROUND(G5,0)-ROUND(F5,0)</f>
        <v>-74</v>
      </c>
      <c r="L5" s="223">
        <f aca="true" t="shared" si="1" ref="L5:L23">+E5+K5</f>
        <v>367</v>
      </c>
      <c r="M5" s="215">
        <f aca="true" t="shared" si="2" ref="M5:R7">ROUND(M31,0)</f>
        <v>314</v>
      </c>
      <c r="N5" s="193">
        <f t="shared" si="2"/>
        <v>354</v>
      </c>
      <c r="O5" s="193">
        <f t="shared" si="2"/>
        <v>78</v>
      </c>
      <c r="P5" s="193">
        <f t="shared" si="2"/>
        <v>86</v>
      </c>
      <c r="Q5" s="193">
        <f t="shared" si="2"/>
        <v>55</v>
      </c>
      <c r="R5" s="193">
        <f t="shared" si="2"/>
        <v>60</v>
      </c>
      <c r="S5" s="177">
        <f aca="true" t="shared" si="3" ref="S5:S14">ROUND(S31,2)</f>
        <v>3.87</v>
      </c>
      <c r="T5" s="216">
        <f aca="true" t="shared" si="4" ref="T5:T23">ROUND(T31,2)</f>
        <v>4.07</v>
      </c>
      <c r="U5" s="226">
        <f aca="true" t="shared" si="5" ref="U5:Z5">+ROUND(U31,0)</f>
        <v>314</v>
      </c>
      <c r="V5" s="178">
        <f t="shared" si="5"/>
        <v>343</v>
      </c>
      <c r="W5" s="178">
        <f t="shared" si="5"/>
        <v>77</v>
      </c>
      <c r="X5" s="178">
        <f t="shared" si="5"/>
        <v>80</v>
      </c>
      <c r="Y5" s="178">
        <f t="shared" si="5"/>
        <v>54</v>
      </c>
      <c r="Z5" s="178">
        <f t="shared" si="5"/>
        <v>58</v>
      </c>
      <c r="AA5" s="177">
        <f aca="true" t="shared" si="6" ref="AA5:AA14">+ROUND(AA31,2)</f>
        <v>3.81</v>
      </c>
      <c r="AB5" s="216">
        <f aca="true" t="shared" si="7" ref="AB5:AB23">+ROUND(AB31,2)</f>
        <v>3.81</v>
      </c>
      <c r="AC5" s="227">
        <f>+M5/U5-1</f>
        <v>0</v>
      </c>
      <c r="AD5" s="179">
        <f aca="true" t="shared" si="8" ref="AD5:AD22">+N5/V5-1</f>
        <v>0.03206997084548102</v>
      </c>
      <c r="AE5" s="179">
        <f aca="true" t="shared" si="9" ref="AE5:AE23">+O5/W5-1</f>
        <v>0.01298701298701288</v>
      </c>
      <c r="AF5" s="179">
        <f aca="true" t="shared" si="10" ref="AF5:AF22">+P5/X5-1</f>
        <v>0.07499999999999996</v>
      </c>
      <c r="AG5" s="179">
        <f aca="true" t="shared" si="11" ref="AG5:AG23">+Q5/Y5-1</f>
        <v>0.0185185185185186</v>
      </c>
      <c r="AH5" s="179">
        <f aca="true" t="shared" si="12" ref="AH5:AH23">+R5/Z5-1</f>
        <v>0.034482758620689724</v>
      </c>
      <c r="AI5" s="179">
        <f aca="true" t="shared" si="13" ref="AI5:AI23">+S5/AA5-1</f>
        <v>0.015748031496062964</v>
      </c>
      <c r="AJ5" s="228">
        <f aca="true" t="shared" si="14" ref="AJ5:AJ23">+T5/AB5-1</f>
        <v>0.06824146981627299</v>
      </c>
      <c r="AK5" s="226">
        <f>+U5</f>
        <v>314</v>
      </c>
      <c r="AL5" s="178">
        <f aca="true" t="shared" si="15" ref="AL5:AR5">+V5</f>
        <v>343</v>
      </c>
      <c r="AM5" s="178">
        <f t="shared" si="15"/>
        <v>77</v>
      </c>
      <c r="AN5" s="178">
        <f t="shared" si="15"/>
        <v>80</v>
      </c>
      <c r="AO5" s="178">
        <f t="shared" si="15"/>
        <v>54</v>
      </c>
      <c r="AP5" s="178">
        <f t="shared" si="15"/>
        <v>58</v>
      </c>
      <c r="AQ5" s="177">
        <f t="shared" si="15"/>
        <v>3.81</v>
      </c>
      <c r="AR5" s="216">
        <f t="shared" si="15"/>
        <v>3.81</v>
      </c>
      <c r="AS5" s="227">
        <f>+AM5/AK5</f>
        <v>0.24522292993630573</v>
      </c>
      <c r="AT5" s="179">
        <f>+AN5/AL5</f>
        <v>0.23323615160349853</v>
      </c>
      <c r="AU5" s="179">
        <f>+AO5/AK5</f>
        <v>0.17197452229299362</v>
      </c>
      <c r="AV5" s="179">
        <f>+AP5/AL5</f>
        <v>0.16909620991253643</v>
      </c>
      <c r="AW5" s="179">
        <f aca="true" t="shared" si="16" ref="AW5:AW14">+AL5/AK5-1</f>
        <v>0.09235668789808926</v>
      </c>
      <c r="AX5" s="178">
        <f aca="true" t="shared" si="17" ref="AX5:AX23">+ROUND(E5,0)+ROUND(H5,0)</f>
        <v>443</v>
      </c>
      <c r="AY5" s="178">
        <f aca="true" t="shared" si="18" ref="AY5:AY23">ROUND(+J5,0)+ROUND(I5,0)</f>
        <v>35</v>
      </c>
      <c r="AZ5" s="231">
        <f aca="true" t="shared" si="19" ref="AZ5:AZ23">+AX5/(AX5+AY5)</f>
        <v>0.9267782426778243</v>
      </c>
      <c r="BA5" s="177">
        <f aca="true" t="shared" si="20" ref="BA5:BA14">ROUND(+$BI5/AK5,2)</f>
        <v>1.17</v>
      </c>
      <c r="BB5" s="177">
        <f aca="true" t="shared" si="21" ref="BB5:BB14">ROUND(+$BI5/AL5,2)</f>
        <v>1.07</v>
      </c>
      <c r="BC5" s="180">
        <f aca="true" t="shared" si="22" ref="BC5:BF7">ROUND(+$BI5/AM5,1)</f>
        <v>4.8</v>
      </c>
      <c r="BD5" s="180">
        <f t="shared" si="22"/>
        <v>4.6</v>
      </c>
      <c r="BE5" s="180">
        <f t="shared" si="22"/>
        <v>6.8</v>
      </c>
      <c r="BF5" s="180">
        <f t="shared" si="22"/>
        <v>6.3</v>
      </c>
      <c r="BG5" s="180">
        <f aca="true" t="shared" si="23" ref="BG5:BG14">ROUND(+$BJ5/AQ5,1)</f>
        <v>11.6</v>
      </c>
      <c r="BH5" s="180">
        <f aca="true" t="shared" si="24" ref="BH5:BH14">ROUND(+$BJ5/AR5,1)</f>
        <v>11.6</v>
      </c>
      <c r="BI5" s="181">
        <f aca="true" t="shared" si="25" ref="BI5:BI23">+L5</f>
        <v>367</v>
      </c>
      <c r="BJ5" s="234">
        <f aca="true" t="shared" si="26" ref="BJ5:BJ23">+D5</f>
        <v>44.1</v>
      </c>
    </row>
    <row r="6" spans="1:62" ht="21" customHeight="1">
      <c r="A6" s="198"/>
      <c r="B6" s="185" t="s">
        <v>68</v>
      </c>
      <c r="C6" s="185" t="s">
        <v>17</v>
      </c>
      <c r="D6" s="200">
        <f>(+'PG-Ermittlung Market Cap &amp; EV'!K6)/(USD)</f>
        <v>61.801783335041506</v>
      </c>
      <c r="E6" s="193">
        <f>ROUND((+'PG-Ermittlung Market Cap &amp; EV'!L6)/(USD),0)</f>
        <v>1649</v>
      </c>
      <c r="F6" s="193">
        <f>(+'PG-Ermittlung Market Cap &amp; EV'!F6)/(USD)</f>
        <v>145.84400942912782</v>
      </c>
      <c r="G6" s="193">
        <f>(+'PG-Ermittlung Market Cap &amp; EV'!G6)/(USD)</f>
        <v>30.95213692733422</v>
      </c>
      <c r="H6" s="193">
        <f>(+'PG-Ermittlung Market Cap &amp; EV'!H6)/(USD)</f>
        <v>11.068976119708928</v>
      </c>
      <c r="I6" s="193">
        <f>(+'PG-Ermittlung Market Cap &amp; EV'!I6)/(USD)</f>
        <v>409.7570974684842</v>
      </c>
      <c r="J6" s="193">
        <f>(+'PG-Ermittlung Market Cap &amp; EV'!J6)/(USD)</f>
        <v>684.2267090294148</v>
      </c>
      <c r="K6" s="193">
        <f t="shared" si="0"/>
        <v>928</v>
      </c>
      <c r="L6" s="223">
        <f t="shared" si="1"/>
        <v>2577</v>
      </c>
      <c r="M6" s="215">
        <f t="shared" si="2"/>
        <v>2703</v>
      </c>
      <c r="N6" s="193">
        <f t="shared" si="2"/>
        <v>3025</v>
      </c>
      <c r="O6" s="193">
        <f t="shared" si="2"/>
        <v>372</v>
      </c>
      <c r="P6" s="193">
        <f t="shared" si="2"/>
        <v>424</v>
      </c>
      <c r="Q6" s="193">
        <f t="shared" si="2"/>
        <v>259</v>
      </c>
      <c r="R6" s="193">
        <f t="shared" si="2"/>
        <v>299</v>
      </c>
      <c r="S6" s="177">
        <f t="shared" si="3"/>
        <v>5.75</v>
      </c>
      <c r="T6" s="216">
        <f t="shared" si="4"/>
        <v>6.6</v>
      </c>
      <c r="U6" s="226">
        <f aca="true" t="shared" si="27" ref="U6:X14">+ROUND(U32,0)</f>
        <v>2725</v>
      </c>
      <c r="V6" s="178">
        <f t="shared" si="27"/>
        <v>3041</v>
      </c>
      <c r="W6" s="178">
        <f t="shared" si="27"/>
        <v>377</v>
      </c>
      <c r="X6" s="178">
        <f t="shared" si="27"/>
        <v>420</v>
      </c>
      <c r="Y6" s="178"/>
      <c r="Z6" s="178"/>
      <c r="AA6" s="177">
        <f t="shared" si="6"/>
        <v>5.77</v>
      </c>
      <c r="AB6" s="216">
        <f t="shared" si="7"/>
        <v>6.57</v>
      </c>
      <c r="AC6" s="227">
        <f aca="true" t="shared" si="28" ref="AC6:AC23">+M6/U6-1</f>
        <v>-0.008073394495412889</v>
      </c>
      <c r="AD6" s="179">
        <f t="shared" si="8"/>
        <v>-0.005261427162117749</v>
      </c>
      <c r="AE6" s="179">
        <f t="shared" si="9"/>
        <v>-0.01326259946949604</v>
      </c>
      <c r="AF6" s="179">
        <f t="shared" si="10"/>
        <v>0.00952380952380949</v>
      </c>
      <c r="AG6" s="179"/>
      <c r="AH6" s="179"/>
      <c r="AI6" s="179">
        <f t="shared" si="13"/>
        <v>-0.0034662045060658286</v>
      </c>
      <c r="AJ6" s="228">
        <f t="shared" si="14"/>
        <v>0.004566210045662045</v>
      </c>
      <c r="AK6" s="226">
        <f aca="true" t="shared" si="29" ref="AK6:AK23">+U6</f>
        <v>2725</v>
      </c>
      <c r="AL6" s="178">
        <f aca="true" t="shared" si="30" ref="AL6:AL23">+V6</f>
        <v>3041</v>
      </c>
      <c r="AM6" s="178">
        <f aca="true" t="shared" si="31" ref="AM6:AM14">+W6</f>
        <v>377</v>
      </c>
      <c r="AN6" s="178">
        <f aca="true" t="shared" si="32" ref="AN6:AN14">+X6</f>
        <v>420</v>
      </c>
      <c r="AO6" s="182">
        <f>+Q6</f>
        <v>259</v>
      </c>
      <c r="AP6" s="182">
        <f>+R6</f>
        <v>299</v>
      </c>
      <c r="AQ6" s="177">
        <f aca="true" t="shared" si="33" ref="AQ6:AQ14">+AA6</f>
        <v>5.77</v>
      </c>
      <c r="AR6" s="216">
        <f aca="true" t="shared" si="34" ref="AR6:AR14">+AB6</f>
        <v>6.57</v>
      </c>
      <c r="AS6" s="227">
        <f aca="true" t="shared" si="35" ref="AS6:AS23">+AM6/AK6</f>
        <v>0.138348623853211</v>
      </c>
      <c r="AT6" s="179">
        <f aca="true" t="shared" si="36" ref="AT6:AT23">+AN6/AL6</f>
        <v>0.13811246300559027</v>
      </c>
      <c r="AU6" s="179">
        <f aca="true" t="shared" si="37" ref="AU6:AU23">+AO6/AK6</f>
        <v>0.09504587155963302</v>
      </c>
      <c r="AV6" s="179">
        <f aca="true" t="shared" si="38" ref="AV6:AV23">+AP6/AL6</f>
        <v>0.09832292009207498</v>
      </c>
      <c r="AW6" s="179">
        <f t="shared" si="16"/>
        <v>0.1159633027522935</v>
      </c>
      <c r="AX6" s="178">
        <f t="shared" si="17"/>
        <v>1660</v>
      </c>
      <c r="AY6" s="178">
        <f t="shared" si="18"/>
        <v>1094</v>
      </c>
      <c r="AZ6" s="231">
        <f t="shared" si="19"/>
        <v>0.6027596223674655</v>
      </c>
      <c r="BA6" s="177">
        <f t="shared" si="20"/>
        <v>0.95</v>
      </c>
      <c r="BB6" s="177">
        <f t="shared" si="21"/>
        <v>0.85</v>
      </c>
      <c r="BC6" s="180">
        <f t="shared" si="22"/>
        <v>6.8</v>
      </c>
      <c r="BD6" s="180">
        <f t="shared" si="22"/>
        <v>6.1</v>
      </c>
      <c r="BE6" s="180">
        <f t="shared" si="22"/>
        <v>9.9</v>
      </c>
      <c r="BF6" s="180">
        <f t="shared" si="22"/>
        <v>8.6</v>
      </c>
      <c r="BG6" s="180">
        <f t="shared" si="23"/>
        <v>10.7</v>
      </c>
      <c r="BH6" s="180">
        <f t="shared" si="24"/>
        <v>9.4</v>
      </c>
      <c r="BI6" s="181">
        <f t="shared" si="25"/>
        <v>2577</v>
      </c>
      <c r="BJ6" s="234">
        <f t="shared" si="26"/>
        <v>61.801783335041506</v>
      </c>
    </row>
    <row r="7" spans="1:62" ht="21" customHeight="1">
      <c r="A7" s="198"/>
      <c r="B7" s="185" t="s">
        <v>54</v>
      </c>
      <c r="C7" s="185" t="s">
        <v>16</v>
      </c>
      <c r="D7" s="200">
        <f>+'PG-Ermittlung Market Cap &amp; EV'!K7</f>
        <v>16.7</v>
      </c>
      <c r="E7" s="193">
        <f>ROUND(+'PG-Ermittlung Market Cap &amp; EV'!L7,0)</f>
        <v>2168</v>
      </c>
      <c r="F7" s="193">
        <f>+'PG-Ermittlung Market Cap &amp; EV'!F7</f>
        <v>159.9</v>
      </c>
      <c r="G7" s="193">
        <f>+'PG-Ermittlung Market Cap &amp; EV'!G7</f>
        <v>618.1</v>
      </c>
      <c r="H7" s="193">
        <f>+'PG-Ermittlung Market Cap &amp; EV'!H7</f>
        <v>101.4</v>
      </c>
      <c r="I7" s="193">
        <f>+'PG-Ermittlung Market Cap &amp; EV'!I7</f>
        <v>1202.2</v>
      </c>
      <c r="J7" s="193">
        <f>+'PG-Ermittlung Market Cap &amp; EV'!J7</f>
        <v>3219.2</v>
      </c>
      <c r="K7" s="193">
        <f t="shared" si="0"/>
        <v>3744</v>
      </c>
      <c r="L7" s="223">
        <f t="shared" si="1"/>
        <v>5912</v>
      </c>
      <c r="M7" s="215">
        <f t="shared" si="2"/>
        <v>11466</v>
      </c>
      <c r="N7" s="193">
        <f t="shared" si="2"/>
        <v>11922</v>
      </c>
      <c r="O7" s="193">
        <f t="shared" si="2"/>
        <v>1236</v>
      </c>
      <c r="P7" s="193">
        <f t="shared" si="2"/>
        <v>1375</v>
      </c>
      <c r="Q7" s="193">
        <f t="shared" si="2"/>
        <v>598</v>
      </c>
      <c r="R7" s="193">
        <f t="shared" si="2"/>
        <v>684</v>
      </c>
      <c r="S7" s="177">
        <f t="shared" si="3"/>
        <v>1.94</v>
      </c>
      <c r="T7" s="216">
        <f t="shared" si="4"/>
        <v>2.4</v>
      </c>
      <c r="U7" s="226">
        <f t="shared" si="27"/>
        <v>11499</v>
      </c>
      <c r="V7" s="178">
        <f t="shared" si="27"/>
        <v>12001</v>
      </c>
      <c r="W7" s="178">
        <f t="shared" si="27"/>
        <v>1272</v>
      </c>
      <c r="X7" s="178">
        <f t="shared" si="27"/>
        <v>1379</v>
      </c>
      <c r="Y7" s="178">
        <f>+ROUND(Y33,0)</f>
        <v>608</v>
      </c>
      <c r="Z7" s="178">
        <f>+ROUND(Z33,0)</f>
        <v>683</v>
      </c>
      <c r="AA7" s="177">
        <f t="shared" si="6"/>
        <v>2.02</v>
      </c>
      <c r="AB7" s="216">
        <f t="shared" si="7"/>
        <v>2.42</v>
      </c>
      <c r="AC7" s="227">
        <f t="shared" si="28"/>
        <v>-0.0028698147665013884</v>
      </c>
      <c r="AD7" s="179">
        <f t="shared" si="8"/>
        <v>-0.006582784767936056</v>
      </c>
      <c r="AE7" s="179">
        <f t="shared" si="9"/>
        <v>-0.028301886792452824</v>
      </c>
      <c r="AF7" s="179">
        <f t="shared" si="10"/>
        <v>-0.0029006526468455807</v>
      </c>
      <c r="AG7" s="179">
        <f t="shared" si="11"/>
        <v>-0.016447368421052655</v>
      </c>
      <c r="AH7" s="179">
        <f t="shared" si="12"/>
        <v>0.0014641288433381305</v>
      </c>
      <c r="AI7" s="179">
        <f t="shared" si="13"/>
        <v>-0.03960396039603964</v>
      </c>
      <c r="AJ7" s="228">
        <f t="shared" si="14"/>
        <v>-0.008264462809917328</v>
      </c>
      <c r="AK7" s="226">
        <f t="shared" si="29"/>
        <v>11499</v>
      </c>
      <c r="AL7" s="178">
        <f t="shared" si="30"/>
        <v>12001</v>
      </c>
      <c r="AM7" s="178">
        <f t="shared" si="31"/>
        <v>1272</v>
      </c>
      <c r="AN7" s="178">
        <f t="shared" si="32"/>
        <v>1379</v>
      </c>
      <c r="AO7" s="178">
        <f>+Y7</f>
        <v>608</v>
      </c>
      <c r="AP7" s="178">
        <f>+Z7</f>
        <v>683</v>
      </c>
      <c r="AQ7" s="177">
        <f t="shared" si="33"/>
        <v>2.02</v>
      </c>
      <c r="AR7" s="216">
        <f t="shared" si="34"/>
        <v>2.42</v>
      </c>
      <c r="AS7" s="227">
        <f t="shared" si="35"/>
        <v>0.11061831463605531</v>
      </c>
      <c r="AT7" s="179">
        <f t="shared" si="36"/>
        <v>0.11490709107574369</v>
      </c>
      <c r="AU7" s="179">
        <f t="shared" si="37"/>
        <v>0.052874162970693105</v>
      </c>
      <c r="AV7" s="179">
        <f t="shared" si="38"/>
        <v>0.056911924006332805</v>
      </c>
      <c r="AW7" s="179">
        <f t="shared" si="16"/>
        <v>0.04365597008435507</v>
      </c>
      <c r="AX7" s="178">
        <f t="shared" si="17"/>
        <v>2269</v>
      </c>
      <c r="AY7" s="178">
        <f t="shared" si="18"/>
        <v>4421</v>
      </c>
      <c r="AZ7" s="231">
        <f t="shared" si="19"/>
        <v>0.3391629297458894</v>
      </c>
      <c r="BA7" s="177">
        <f t="shared" si="20"/>
        <v>0.51</v>
      </c>
      <c r="BB7" s="177">
        <f t="shared" si="21"/>
        <v>0.49</v>
      </c>
      <c r="BC7" s="180">
        <f t="shared" si="22"/>
        <v>4.6</v>
      </c>
      <c r="BD7" s="180">
        <f t="shared" si="22"/>
        <v>4.3</v>
      </c>
      <c r="BE7" s="180">
        <f t="shared" si="22"/>
        <v>9.7</v>
      </c>
      <c r="BF7" s="180">
        <f t="shared" si="22"/>
        <v>8.7</v>
      </c>
      <c r="BG7" s="180">
        <f t="shared" si="23"/>
        <v>8.3</v>
      </c>
      <c r="BH7" s="180">
        <f t="shared" si="24"/>
        <v>6.9</v>
      </c>
      <c r="BI7" s="181">
        <f t="shared" si="25"/>
        <v>5912</v>
      </c>
      <c r="BJ7" s="234">
        <f t="shared" si="26"/>
        <v>16.7</v>
      </c>
    </row>
    <row r="8" spans="1:62" ht="21" customHeight="1">
      <c r="A8" s="198"/>
      <c r="B8" s="185" t="s">
        <v>68</v>
      </c>
      <c r="C8" s="185" t="s">
        <v>15</v>
      </c>
      <c r="D8" s="200">
        <f>(+'PG-Ermittlung Market Cap &amp; EV'!K8)/(USD)</f>
        <v>32.120528851081275</v>
      </c>
      <c r="E8" s="193">
        <f>ROUND((+'PG-Ermittlung Market Cap &amp; EV'!L8)/(USD),0)</f>
        <v>1237</v>
      </c>
      <c r="F8" s="193">
        <f>(+'PG-Ermittlung Market Cap &amp; EV'!F8)/(USD)</f>
        <v>193.7070820949062</v>
      </c>
      <c r="G8" s="193">
        <f>(+'PG-Ermittlung Market Cap &amp; EV'!G8)/(USD)</f>
        <v>103.51542482320386</v>
      </c>
      <c r="H8" s="193">
        <f>(+'PG-Ermittlung Market Cap &amp; EV'!H8)/(USD)</f>
        <v>89.16675207543302</v>
      </c>
      <c r="I8" s="193">
        <f>(+'PG-Ermittlung Market Cap &amp; EV'!I8)/(USD)</f>
        <v>537.0503228451369</v>
      </c>
      <c r="J8" s="193">
        <f>(+'PG-Ermittlung Market Cap &amp; EV'!J8)/(USD)</f>
        <v>1176.5911653172082</v>
      </c>
      <c r="K8" s="193">
        <f t="shared" si="0"/>
        <v>1505</v>
      </c>
      <c r="L8" s="223">
        <f t="shared" si="1"/>
        <v>2742</v>
      </c>
      <c r="M8" s="215">
        <f aca="true" t="shared" si="39" ref="M8:N14">ROUND(M34,0)</f>
        <v>5893</v>
      </c>
      <c r="N8" s="193">
        <f t="shared" si="39"/>
        <v>6175</v>
      </c>
      <c r="O8" s="193"/>
      <c r="P8" s="193"/>
      <c r="Q8" s="193"/>
      <c r="R8" s="193"/>
      <c r="S8" s="177">
        <f t="shared" si="3"/>
        <v>0.72</v>
      </c>
      <c r="T8" s="216">
        <f t="shared" si="4"/>
        <v>2.54</v>
      </c>
      <c r="U8" s="226">
        <f t="shared" si="27"/>
        <v>5855</v>
      </c>
      <c r="V8" s="178">
        <f t="shared" si="27"/>
        <v>6344</v>
      </c>
      <c r="W8" s="178">
        <f t="shared" si="27"/>
        <v>336</v>
      </c>
      <c r="X8" s="178">
        <f t="shared" si="27"/>
        <v>416</v>
      </c>
      <c r="Y8" s="178"/>
      <c r="Z8" s="178"/>
      <c r="AA8" s="177">
        <f t="shared" si="6"/>
        <v>0.64</v>
      </c>
      <c r="AB8" s="216">
        <f t="shared" si="7"/>
        <v>2.43</v>
      </c>
      <c r="AC8" s="227">
        <f t="shared" si="28"/>
        <v>0.006490179333902724</v>
      </c>
      <c r="AD8" s="179">
        <f t="shared" si="8"/>
        <v>-0.026639344262295084</v>
      </c>
      <c r="AE8" s="179">
        <f t="shared" si="9"/>
        <v>-1</v>
      </c>
      <c r="AF8" s="179">
        <f t="shared" si="10"/>
        <v>-1</v>
      </c>
      <c r="AG8" s="179"/>
      <c r="AH8" s="179"/>
      <c r="AI8" s="179">
        <f t="shared" si="13"/>
        <v>0.125</v>
      </c>
      <c r="AJ8" s="228">
        <f t="shared" si="14"/>
        <v>0.04526748971193406</v>
      </c>
      <c r="AK8" s="226">
        <f t="shared" si="29"/>
        <v>5855</v>
      </c>
      <c r="AL8" s="178">
        <f t="shared" si="30"/>
        <v>6344</v>
      </c>
      <c r="AM8" s="178">
        <f t="shared" si="31"/>
        <v>336</v>
      </c>
      <c r="AN8" s="178">
        <f t="shared" si="32"/>
        <v>416</v>
      </c>
      <c r="AO8" s="183"/>
      <c r="AP8" s="178"/>
      <c r="AQ8" s="177">
        <f t="shared" si="33"/>
        <v>0.64</v>
      </c>
      <c r="AR8" s="216">
        <f t="shared" si="34"/>
        <v>2.43</v>
      </c>
      <c r="AS8" s="227">
        <f t="shared" si="35"/>
        <v>0.057386848847139196</v>
      </c>
      <c r="AT8" s="179">
        <f t="shared" si="36"/>
        <v>0.06557377049180328</v>
      </c>
      <c r="AU8" s="179" t="s">
        <v>50</v>
      </c>
      <c r="AV8" s="179" t="s">
        <v>50</v>
      </c>
      <c r="AW8" s="179">
        <f t="shared" si="16"/>
        <v>0.08351836037574722</v>
      </c>
      <c r="AX8" s="178">
        <f t="shared" si="17"/>
        <v>1326</v>
      </c>
      <c r="AY8" s="178">
        <f t="shared" si="18"/>
        <v>1714</v>
      </c>
      <c r="AZ8" s="231">
        <f t="shared" si="19"/>
        <v>0.4361842105263158</v>
      </c>
      <c r="BA8" s="177">
        <f t="shared" si="20"/>
        <v>0.47</v>
      </c>
      <c r="BB8" s="177">
        <f t="shared" si="21"/>
        <v>0.43</v>
      </c>
      <c r="BC8" s="180">
        <f aca="true" t="shared" si="40" ref="BC8:BD14">ROUND(+$BI8/AM8,1)</f>
        <v>8.2</v>
      </c>
      <c r="BD8" s="180">
        <f t="shared" si="40"/>
        <v>6.6</v>
      </c>
      <c r="BE8" s="180"/>
      <c r="BF8" s="180"/>
      <c r="BG8" s="180">
        <f t="shared" si="23"/>
        <v>50.2</v>
      </c>
      <c r="BH8" s="180">
        <f t="shared" si="24"/>
        <v>13.2</v>
      </c>
      <c r="BI8" s="181">
        <f t="shared" si="25"/>
        <v>2742</v>
      </c>
      <c r="BJ8" s="234">
        <f t="shared" si="26"/>
        <v>32.120528851081275</v>
      </c>
    </row>
    <row r="9" spans="1:62" ht="21" customHeight="1">
      <c r="A9" s="198"/>
      <c r="B9" s="185" t="s">
        <v>68</v>
      </c>
      <c r="C9" s="185" t="s">
        <v>12</v>
      </c>
      <c r="D9" s="200">
        <f>(+'PG-Ermittlung Market Cap &amp; EV'!K9)/(USD)</f>
        <v>17.279901609101156</v>
      </c>
      <c r="E9" s="193">
        <f>ROUND((+'PG-Ermittlung Market Cap &amp; EV'!L9)/(USD),0)</f>
        <v>2567</v>
      </c>
      <c r="F9" s="193">
        <f>(+'PG-Ermittlung Market Cap &amp; EV'!F9)/(USD)</f>
        <v>2264.015578558983</v>
      </c>
      <c r="G9" s="193">
        <f>(+'PG-Ermittlung Market Cap &amp; EV'!G9)/(USD)</f>
        <v>325.9198524136517</v>
      </c>
      <c r="H9" s="193">
        <f>(+'PG-Ermittlung Market Cap &amp; EV'!H9)/(USD)</f>
        <v>107.61504560828124</v>
      </c>
      <c r="I9" s="193">
        <f>(+'PG-Ermittlung Market Cap &amp; EV'!I9)/(USD)</f>
        <v>937.7882545864508</v>
      </c>
      <c r="J9" s="193">
        <f>(+'PG-Ermittlung Market Cap &amp; EV'!J9)/(USD)</f>
        <v>4230.808650199857</v>
      </c>
      <c r="K9" s="193">
        <f t="shared" si="0"/>
        <v>2687</v>
      </c>
      <c r="L9" s="223">
        <f t="shared" si="1"/>
        <v>5254</v>
      </c>
      <c r="M9" s="215">
        <f t="shared" si="39"/>
        <v>10595</v>
      </c>
      <c r="N9" s="193">
        <f t="shared" si="39"/>
        <v>11002</v>
      </c>
      <c r="O9" s="193">
        <f aca="true" t="shared" si="41" ref="O9:R11">ROUND(O35,0)</f>
        <v>826</v>
      </c>
      <c r="P9" s="193">
        <f t="shared" si="41"/>
        <v>951</v>
      </c>
      <c r="Q9" s="193">
        <f t="shared" si="41"/>
        <v>406</v>
      </c>
      <c r="R9" s="193">
        <f t="shared" si="41"/>
        <v>536</v>
      </c>
      <c r="S9" s="177">
        <f t="shared" si="3"/>
        <v>1.18</v>
      </c>
      <c r="T9" s="216">
        <f t="shared" si="4"/>
        <v>1.75</v>
      </c>
      <c r="U9" s="226">
        <f t="shared" si="27"/>
        <v>10640</v>
      </c>
      <c r="V9" s="178">
        <f t="shared" si="27"/>
        <v>11390</v>
      </c>
      <c r="W9" s="178">
        <f t="shared" si="27"/>
        <v>850</v>
      </c>
      <c r="X9" s="178">
        <f t="shared" si="27"/>
        <v>1071</v>
      </c>
      <c r="Y9" s="178"/>
      <c r="Z9" s="178"/>
      <c r="AA9" s="177">
        <f t="shared" si="6"/>
        <v>1.21</v>
      </c>
      <c r="AB9" s="216">
        <f t="shared" si="7"/>
        <v>1.73</v>
      </c>
      <c r="AC9" s="227">
        <f t="shared" si="28"/>
        <v>-0.004229323308270638</v>
      </c>
      <c r="AD9" s="179">
        <f t="shared" si="8"/>
        <v>-0.03406496927129066</v>
      </c>
      <c r="AE9" s="179">
        <f t="shared" si="9"/>
        <v>-0.028235294117647025</v>
      </c>
      <c r="AF9" s="179">
        <f t="shared" si="10"/>
        <v>-0.11204481792717091</v>
      </c>
      <c r="AG9" s="179"/>
      <c r="AH9" s="179"/>
      <c r="AI9" s="179">
        <f t="shared" si="13"/>
        <v>-0.024793388429752095</v>
      </c>
      <c r="AJ9" s="228">
        <f t="shared" si="14"/>
        <v>0.011560693641618602</v>
      </c>
      <c r="AK9" s="226">
        <f t="shared" si="29"/>
        <v>10640</v>
      </c>
      <c r="AL9" s="178">
        <f t="shared" si="30"/>
        <v>11390</v>
      </c>
      <c r="AM9" s="178">
        <f t="shared" si="31"/>
        <v>850</v>
      </c>
      <c r="AN9" s="178">
        <f t="shared" si="32"/>
        <v>1071</v>
      </c>
      <c r="AO9" s="182">
        <f>+Q9</f>
        <v>406</v>
      </c>
      <c r="AP9" s="182">
        <f>+R9</f>
        <v>536</v>
      </c>
      <c r="AQ9" s="177">
        <f t="shared" si="33"/>
        <v>1.21</v>
      </c>
      <c r="AR9" s="216">
        <f t="shared" si="34"/>
        <v>1.73</v>
      </c>
      <c r="AS9" s="227">
        <f t="shared" si="35"/>
        <v>0.07988721804511278</v>
      </c>
      <c r="AT9" s="179">
        <f t="shared" si="36"/>
        <v>0.09402985074626866</v>
      </c>
      <c r="AU9" s="179">
        <f t="shared" si="37"/>
        <v>0.038157894736842106</v>
      </c>
      <c r="AV9" s="179">
        <f t="shared" si="38"/>
        <v>0.047058823529411764</v>
      </c>
      <c r="AW9" s="179">
        <f t="shared" si="16"/>
        <v>0.07048872180451138</v>
      </c>
      <c r="AX9" s="178">
        <f t="shared" si="17"/>
        <v>2675</v>
      </c>
      <c r="AY9" s="178">
        <f t="shared" si="18"/>
        <v>5169</v>
      </c>
      <c r="AZ9" s="231">
        <f t="shared" si="19"/>
        <v>0.34102498725140235</v>
      </c>
      <c r="BA9" s="177">
        <f t="shared" si="20"/>
        <v>0.49</v>
      </c>
      <c r="BB9" s="177">
        <f t="shared" si="21"/>
        <v>0.46</v>
      </c>
      <c r="BC9" s="180">
        <f t="shared" si="40"/>
        <v>6.2</v>
      </c>
      <c r="BD9" s="180">
        <f t="shared" si="40"/>
        <v>4.9</v>
      </c>
      <c r="BE9" s="180">
        <f aca="true" t="shared" si="42" ref="BE9:BF14">ROUND(+$BI9/AO9,1)</f>
        <v>12.9</v>
      </c>
      <c r="BF9" s="180">
        <f t="shared" si="42"/>
        <v>9.8</v>
      </c>
      <c r="BG9" s="180">
        <f t="shared" si="23"/>
        <v>14.3</v>
      </c>
      <c r="BH9" s="180">
        <f t="shared" si="24"/>
        <v>10</v>
      </c>
      <c r="BI9" s="181">
        <f t="shared" si="25"/>
        <v>5254</v>
      </c>
      <c r="BJ9" s="234">
        <f t="shared" si="26"/>
        <v>17.279901609101156</v>
      </c>
    </row>
    <row r="10" spans="1:62" ht="21" customHeight="1">
      <c r="A10" s="198"/>
      <c r="B10" s="185" t="s">
        <v>68</v>
      </c>
      <c r="C10" s="185" t="s">
        <v>13</v>
      </c>
      <c r="D10" s="200">
        <f>(+'PG-Ermittlung Market Cap &amp; EV'!K10)/(USD)</f>
        <v>9.521369273342215</v>
      </c>
      <c r="E10" s="193">
        <f>ROUND((+'PG-Ermittlung Market Cap &amp; EV'!L10)/(USD),0)</f>
        <v>5326</v>
      </c>
      <c r="F10" s="193">
        <f>(+'PG-Ermittlung Market Cap &amp; EV'!F10)/(USD)</f>
        <v>1651.122271189915</v>
      </c>
      <c r="G10" s="193">
        <f>(+'PG-Ermittlung Market Cap &amp; EV'!G10)/(USD)</f>
        <v>771.7536127908169</v>
      </c>
      <c r="H10" s="193">
        <f>(+'PG-Ermittlung Market Cap &amp; EV'!H10)/(USD)</f>
        <v>0</v>
      </c>
      <c r="I10" s="193">
        <f>(+'PG-Ermittlung Market Cap &amp; EV'!I10)/(USD)</f>
        <v>7011.37644767859</v>
      </c>
      <c r="J10" s="193">
        <f>(+'PG-Ermittlung Market Cap &amp; EV'!J10)/(USD)</f>
        <v>3753.202828738342</v>
      </c>
      <c r="K10" s="193">
        <f t="shared" si="0"/>
        <v>8341</v>
      </c>
      <c r="L10" s="223">
        <f t="shared" si="1"/>
        <v>13667</v>
      </c>
      <c r="M10" s="215">
        <f t="shared" si="39"/>
        <v>27360</v>
      </c>
      <c r="N10" s="193">
        <f t="shared" si="39"/>
        <v>27166</v>
      </c>
      <c r="O10" s="193">
        <f t="shared" si="41"/>
        <v>1942</v>
      </c>
      <c r="P10" s="193">
        <f t="shared" si="41"/>
        <v>2435</v>
      </c>
      <c r="Q10" s="193">
        <f t="shared" si="41"/>
        <v>933</v>
      </c>
      <c r="R10" s="193">
        <f t="shared" si="41"/>
        <v>1454</v>
      </c>
      <c r="S10" s="177">
        <f t="shared" si="3"/>
        <v>0.87</v>
      </c>
      <c r="T10" s="216">
        <f t="shared" si="4"/>
        <v>1.2</v>
      </c>
      <c r="U10" s="226">
        <f t="shared" si="27"/>
        <v>27482</v>
      </c>
      <c r="V10" s="178">
        <f t="shared" si="27"/>
        <v>28119</v>
      </c>
      <c r="W10" s="178">
        <f t="shared" si="27"/>
        <v>1970</v>
      </c>
      <c r="X10" s="178">
        <f t="shared" si="27"/>
        <v>2270</v>
      </c>
      <c r="Y10" s="178">
        <f>+ROUND(Y36,0)</f>
        <v>941</v>
      </c>
      <c r="Z10" s="178">
        <f>+ROUND(Z36,0)</f>
        <v>1046</v>
      </c>
      <c r="AA10" s="177">
        <f t="shared" si="6"/>
        <v>0.89</v>
      </c>
      <c r="AB10" s="216">
        <f t="shared" si="7"/>
        <v>1.19</v>
      </c>
      <c r="AC10" s="227">
        <f t="shared" si="28"/>
        <v>-0.004439269339931551</v>
      </c>
      <c r="AD10" s="179">
        <f t="shared" si="8"/>
        <v>-0.03389167466837373</v>
      </c>
      <c r="AE10" s="179">
        <f t="shared" si="9"/>
        <v>-0.014213197969543123</v>
      </c>
      <c r="AF10" s="179">
        <f t="shared" si="10"/>
        <v>0.07268722466960353</v>
      </c>
      <c r="AG10" s="179">
        <f t="shared" si="11"/>
        <v>-0.008501594048884176</v>
      </c>
      <c r="AH10" s="179">
        <f t="shared" si="12"/>
        <v>0.39005736137667313</v>
      </c>
      <c r="AI10" s="179">
        <f t="shared" si="13"/>
        <v>-0.022471910112359605</v>
      </c>
      <c r="AJ10" s="228">
        <f t="shared" si="14"/>
        <v>0.008403361344537785</v>
      </c>
      <c r="AK10" s="226">
        <f t="shared" si="29"/>
        <v>27482</v>
      </c>
      <c r="AL10" s="178">
        <f t="shared" si="30"/>
        <v>28119</v>
      </c>
      <c r="AM10" s="178">
        <f t="shared" si="31"/>
        <v>1970</v>
      </c>
      <c r="AN10" s="178">
        <f t="shared" si="32"/>
        <v>2270</v>
      </c>
      <c r="AO10" s="178">
        <f>+Y10</f>
        <v>941</v>
      </c>
      <c r="AP10" s="178">
        <f>+Z10</f>
        <v>1046</v>
      </c>
      <c r="AQ10" s="177">
        <f t="shared" si="33"/>
        <v>0.89</v>
      </c>
      <c r="AR10" s="216">
        <f t="shared" si="34"/>
        <v>1.19</v>
      </c>
      <c r="AS10" s="227">
        <f t="shared" si="35"/>
        <v>0.0716832836038134</v>
      </c>
      <c r="AT10" s="179">
        <f t="shared" si="36"/>
        <v>0.08072833315551763</v>
      </c>
      <c r="AU10" s="179">
        <f t="shared" si="37"/>
        <v>0.03424059384324285</v>
      </c>
      <c r="AV10" s="179">
        <f t="shared" si="38"/>
        <v>0.03719904690778477</v>
      </c>
      <c r="AW10" s="179">
        <f t="shared" si="16"/>
        <v>0.023178807947019875</v>
      </c>
      <c r="AX10" s="178">
        <f t="shared" si="17"/>
        <v>5326</v>
      </c>
      <c r="AY10" s="178">
        <f t="shared" si="18"/>
        <v>10764</v>
      </c>
      <c r="AZ10" s="231">
        <f t="shared" si="19"/>
        <v>0.3310130515848353</v>
      </c>
      <c r="BA10" s="177">
        <f t="shared" si="20"/>
        <v>0.5</v>
      </c>
      <c r="BB10" s="177">
        <f t="shared" si="21"/>
        <v>0.49</v>
      </c>
      <c r="BC10" s="180">
        <f t="shared" si="40"/>
        <v>6.9</v>
      </c>
      <c r="BD10" s="180">
        <f t="shared" si="40"/>
        <v>6</v>
      </c>
      <c r="BE10" s="180">
        <f t="shared" si="42"/>
        <v>14.5</v>
      </c>
      <c r="BF10" s="180">
        <f t="shared" si="42"/>
        <v>13.1</v>
      </c>
      <c r="BG10" s="180">
        <f t="shared" si="23"/>
        <v>10.7</v>
      </c>
      <c r="BH10" s="180">
        <f t="shared" si="24"/>
        <v>8</v>
      </c>
      <c r="BI10" s="181">
        <f t="shared" si="25"/>
        <v>13667</v>
      </c>
      <c r="BJ10" s="234">
        <f t="shared" si="26"/>
        <v>9.521369273342215</v>
      </c>
    </row>
    <row r="11" spans="1:62" ht="21" customHeight="1">
      <c r="A11" s="198"/>
      <c r="B11" s="185" t="s">
        <v>81</v>
      </c>
      <c r="C11" s="185" t="s">
        <v>14</v>
      </c>
      <c r="D11" s="200">
        <f>(+'PG-Ermittlung Market Cap &amp; EV'!K11)/(YEN)</f>
        <v>15.236337</v>
      </c>
      <c r="E11" s="193">
        <f>ROUND((+'PG-Ermittlung Market Cap &amp; EV'!L11)/(YEN),0)</f>
        <v>13199</v>
      </c>
      <c r="F11" s="193">
        <f>(+'PG-Ermittlung Market Cap &amp; EV'!F11)/(YEN)</f>
        <v>5164.9030405</v>
      </c>
      <c r="G11" s="193">
        <f>(+'PG-Ermittlung Market Cap &amp; EV'!G11)/(YEN)</f>
        <v>2621.0631528000004</v>
      </c>
      <c r="H11" s="193">
        <f>(+'PG-Ermittlung Market Cap &amp; EV'!H11)/(YEN)</f>
        <v>546.3130665</v>
      </c>
      <c r="I11" s="193">
        <f>(+'PG-Ermittlung Market Cap &amp; EV'!I11)/(YEN)</f>
        <v>1526.9219942</v>
      </c>
      <c r="J11" s="193">
        <f>(+'PG-Ermittlung Market Cap &amp; EV'!J11)/(YEN)</f>
        <v>1615.7575862</v>
      </c>
      <c r="K11" s="193">
        <f t="shared" si="0"/>
        <v>-4097</v>
      </c>
      <c r="L11" s="223">
        <f t="shared" si="1"/>
        <v>9102</v>
      </c>
      <c r="M11" s="215">
        <f t="shared" si="39"/>
        <v>19467</v>
      </c>
      <c r="N11" s="193">
        <f t="shared" si="39"/>
        <v>19422</v>
      </c>
      <c r="O11" s="193">
        <f t="shared" si="41"/>
        <v>2480</v>
      </c>
      <c r="P11" s="193">
        <f t="shared" si="41"/>
        <v>2491</v>
      </c>
      <c r="Q11" s="193">
        <f t="shared" si="41"/>
        <v>1160</v>
      </c>
      <c r="R11" s="193">
        <f t="shared" si="41"/>
        <v>1201</v>
      </c>
      <c r="S11" s="177">
        <f t="shared" si="3"/>
        <v>1.2</v>
      </c>
      <c r="T11" s="216">
        <f t="shared" si="4"/>
        <v>0.95</v>
      </c>
      <c r="U11" s="226">
        <f t="shared" si="27"/>
        <v>19469</v>
      </c>
      <c r="V11" s="178">
        <f t="shared" si="27"/>
        <v>19323</v>
      </c>
      <c r="W11" s="178">
        <f t="shared" si="27"/>
        <v>2534</v>
      </c>
      <c r="X11" s="178">
        <f t="shared" si="27"/>
        <v>2670</v>
      </c>
      <c r="Y11" s="178"/>
      <c r="Z11" s="178"/>
      <c r="AA11" s="177">
        <f t="shared" si="6"/>
        <v>1.26</v>
      </c>
      <c r="AB11" s="216">
        <f t="shared" si="7"/>
        <v>0.96</v>
      </c>
      <c r="AC11" s="227">
        <f t="shared" si="28"/>
        <v>-0.00010272741281014408</v>
      </c>
      <c r="AD11" s="179">
        <f t="shared" si="8"/>
        <v>0.005123428039124356</v>
      </c>
      <c r="AE11" s="179">
        <f t="shared" si="9"/>
        <v>-0.02131018153117603</v>
      </c>
      <c r="AF11" s="179">
        <f t="shared" si="10"/>
        <v>-0.06704119850187262</v>
      </c>
      <c r="AG11" s="179"/>
      <c r="AH11" s="179"/>
      <c r="AI11" s="179">
        <f t="shared" si="13"/>
        <v>-0.04761904761904767</v>
      </c>
      <c r="AJ11" s="228">
        <f t="shared" si="14"/>
        <v>-0.01041666666666663</v>
      </c>
      <c r="AK11" s="226">
        <f t="shared" si="29"/>
        <v>19469</v>
      </c>
      <c r="AL11" s="178">
        <f t="shared" si="30"/>
        <v>19323</v>
      </c>
      <c r="AM11" s="178">
        <f t="shared" si="31"/>
        <v>2534</v>
      </c>
      <c r="AN11" s="178">
        <f t="shared" si="32"/>
        <v>2670</v>
      </c>
      <c r="AO11" s="182">
        <f>+Q11</f>
        <v>1160</v>
      </c>
      <c r="AP11" s="182">
        <f>+R11</f>
        <v>1201</v>
      </c>
      <c r="AQ11" s="177">
        <f t="shared" si="33"/>
        <v>1.26</v>
      </c>
      <c r="AR11" s="216">
        <f t="shared" si="34"/>
        <v>0.96</v>
      </c>
      <c r="AS11" s="227">
        <f t="shared" si="35"/>
        <v>0.1301556320304073</v>
      </c>
      <c r="AT11" s="179">
        <f t="shared" si="36"/>
        <v>0.13817730166123274</v>
      </c>
      <c r="AU11" s="179">
        <f t="shared" si="37"/>
        <v>0.05958189942986286</v>
      </c>
      <c r="AV11" s="179">
        <f t="shared" si="38"/>
        <v>0.06215390984836723</v>
      </c>
      <c r="AW11" s="179">
        <f t="shared" si="16"/>
        <v>-0.007499101135137964</v>
      </c>
      <c r="AX11" s="178">
        <f t="shared" si="17"/>
        <v>13745</v>
      </c>
      <c r="AY11" s="178">
        <f t="shared" si="18"/>
        <v>3143</v>
      </c>
      <c r="AZ11" s="231">
        <f t="shared" si="19"/>
        <v>0.8138915206063477</v>
      </c>
      <c r="BA11" s="177">
        <f t="shared" si="20"/>
        <v>0.47</v>
      </c>
      <c r="BB11" s="177">
        <f t="shared" si="21"/>
        <v>0.47</v>
      </c>
      <c r="BC11" s="180">
        <f t="shared" si="40"/>
        <v>3.6</v>
      </c>
      <c r="BD11" s="180">
        <f t="shared" si="40"/>
        <v>3.4</v>
      </c>
      <c r="BE11" s="180">
        <f t="shared" si="42"/>
        <v>7.8</v>
      </c>
      <c r="BF11" s="180">
        <f t="shared" si="42"/>
        <v>7.6</v>
      </c>
      <c r="BG11" s="180">
        <f t="shared" si="23"/>
        <v>12.1</v>
      </c>
      <c r="BH11" s="180">
        <f t="shared" si="24"/>
        <v>15.9</v>
      </c>
      <c r="BI11" s="181">
        <f t="shared" si="25"/>
        <v>9102</v>
      </c>
      <c r="BJ11" s="234">
        <f t="shared" si="26"/>
        <v>15.236337</v>
      </c>
    </row>
    <row r="12" spans="1:62" ht="21" customHeight="1">
      <c r="A12" s="198"/>
      <c r="B12" s="185" t="s">
        <v>68</v>
      </c>
      <c r="C12" s="185" t="s">
        <v>11</v>
      </c>
      <c r="D12" s="200">
        <f>(+'PG-Ermittlung Market Cap &amp; EV'!K12)/(USD)</f>
        <v>74.6438454442964</v>
      </c>
      <c r="E12" s="193">
        <f>ROUND((+'PG-Ermittlung Market Cap &amp; EV'!L12)/(USD),0)</f>
        <v>5262</v>
      </c>
      <c r="F12" s="193">
        <f>(+'PG-Ermittlung Market Cap &amp; EV'!F12)/(USD)</f>
        <v>0</v>
      </c>
      <c r="G12" s="193">
        <f>(+'PG-Ermittlung Market Cap &amp; EV'!G12)/(USD)</f>
        <v>330.0194731987291</v>
      </c>
      <c r="H12" s="193">
        <f>(+'PG-Ermittlung Market Cap &amp; EV'!H12)/(USD)</f>
        <v>0</v>
      </c>
      <c r="I12" s="193">
        <f>(+'PG-Ermittlung Market Cap &amp; EV'!I12)/(USD)</f>
        <v>682.5868607153839</v>
      </c>
      <c r="J12" s="193">
        <f>(+'PG-Ermittlung Market Cap &amp; EV'!J12)/(USD)</f>
        <v>2334.734037101568</v>
      </c>
      <c r="K12" s="193">
        <f t="shared" si="0"/>
        <v>2688</v>
      </c>
      <c r="L12" s="223">
        <f t="shared" si="1"/>
        <v>7950</v>
      </c>
      <c r="M12" s="215">
        <f t="shared" si="39"/>
        <v>7302</v>
      </c>
      <c r="N12" s="193">
        <f t="shared" si="39"/>
        <v>7806</v>
      </c>
      <c r="O12" s="193"/>
      <c r="P12" s="193"/>
      <c r="Q12" s="193"/>
      <c r="R12" s="193"/>
      <c r="S12" s="177">
        <f t="shared" si="3"/>
        <v>4.36</v>
      </c>
      <c r="T12" s="216">
        <f t="shared" si="4"/>
        <v>5.76</v>
      </c>
      <c r="U12" s="226">
        <f t="shared" si="27"/>
        <v>7262</v>
      </c>
      <c r="V12" s="178">
        <f t="shared" si="27"/>
        <v>7596</v>
      </c>
      <c r="W12" s="178">
        <f t="shared" si="27"/>
        <v>871</v>
      </c>
      <c r="X12" s="178">
        <f t="shared" si="27"/>
        <v>999</v>
      </c>
      <c r="Y12" s="178">
        <f aca="true" t="shared" si="43" ref="Y12:Z14">+ROUND(Y38,0)</f>
        <v>228</v>
      </c>
      <c r="Z12" s="178">
        <f t="shared" si="43"/>
        <v>259</v>
      </c>
      <c r="AA12" s="177">
        <f t="shared" si="6"/>
        <v>4.39</v>
      </c>
      <c r="AB12" s="216">
        <f t="shared" si="7"/>
        <v>5.81</v>
      </c>
      <c r="AC12" s="227">
        <f t="shared" si="28"/>
        <v>0.005508124483613264</v>
      </c>
      <c r="AD12" s="179">
        <f t="shared" si="8"/>
        <v>0.027646129541864184</v>
      </c>
      <c r="AE12" s="179">
        <f t="shared" si="9"/>
        <v>-1</v>
      </c>
      <c r="AF12" s="179">
        <f t="shared" si="10"/>
        <v>-1</v>
      </c>
      <c r="AG12" s="179">
        <f t="shared" si="11"/>
        <v>-1</v>
      </c>
      <c r="AH12" s="179">
        <f t="shared" si="12"/>
        <v>-1</v>
      </c>
      <c r="AI12" s="179">
        <f t="shared" si="13"/>
        <v>-0.006833712984054552</v>
      </c>
      <c r="AJ12" s="228">
        <f t="shared" si="14"/>
        <v>-0.008605851979345935</v>
      </c>
      <c r="AK12" s="226">
        <f t="shared" si="29"/>
        <v>7262</v>
      </c>
      <c r="AL12" s="178">
        <f t="shared" si="30"/>
        <v>7596</v>
      </c>
      <c r="AM12" s="178">
        <f t="shared" si="31"/>
        <v>871</v>
      </c>
      <c r="AN12" s="178">
        <f t="shared" si="32"/>
        <v>999</v>
      </c>
      <c r="AO12" s="178">
        <f aca="true" t="shared" si="44" ref="AO12:AP14">+Y12</f>
        <v>228</v>
      </c>
      <c r="AP12" s="178">
        <f t="shared" si="44"/>
        <v>259</v>
      </c>
      <c r="AQ12" s="177">
        <f t="shared" si="33"/>
        <v>4.39</v>
      </c>
      <c r="AR12" s="216">
        <f t="shared" si="34"/>
        <v>5.81</v>
      </c>
      <c r="AS12" s="227">
        <f t="shared" si="35"/>
        <v>0.11993941063068025</v>
      </c>
      <c r="AT12" s="179">
        <f t="shared" si="36"/>
        <v>0.13151658767772512</v>
      </c>
      <c r="AU12" s="179">
        <f t="shared" si="37"/>
        <v>0.03139630955659598</v>
      </c>
      <c r="AV12" s="179">
        <f t="shared" si="38"/>
        <v>0.034096893101632435</v>
      </c>
      <c r="AW12" s="179">
        <f t="shared" si="16"/>
        <v>0.04599283943817123</v>
      </c>
      <c r="AX12" s="178">
        <f t="shared" si="17"/>
        <v>5262</v>
      </c>
      <c r="AY12" s="178">
        <f t="shared" si="18"/>
        <v>3018</v>
      </c>
      <c r="AZ12" s="231">
        <f t="shared" si="19"/>
        <v>0.6355072463768116</v>
      </c>
      <c r="BA12" s="177">
        <f t="shared" si="20"/>
        <v>1.09</v>
      </c>
      <c r="BB12" s="177">
        <f t="shared" si="21"/>
        <v>1.05</v>
      </c>
      <c r="BC12" s="180">
        <f t="shared" si="40"/>
        <v>9.1</v>
      </c>
      <c r="BD12" s="180">
        <f t="shared" si="40"/>
        <v>8</v>
      </c>
      <c r="BE12" s="180">
        <f t="shared" si="42"/>
        <v>34.9</v>
      </c>
      <c r="BF12" s="180">
        <f t="shared" si="42"/>
        <v>30.7</v>
      </c>
      <c r="BG12" s="180">
        <f t="shared" si="23"/>
        <v>17</v>
      </c>
      <c r="BH12" s="180">
        <f t="shared" si="24"/>
        <v>12.8</v>
      </c>
      <c r="BI12" s="181">
        <f t="shared" si="25"/>
        <v>7950</v>
      </c>
      <c r="BJ12" s="234">
        <f t="shared" si="26"/>
        <v>74.6438454442964</v>
      </c>
    </row>
    <row r="13" spans="1:62" ht="21" customHeight="1">
      <c r="A13" s="198"/>
      <c r="B13" s="185" t="s">
        <v>54</v>
      </c>
      <c r="C13" s="185" t="s">
        <v>10</v>
      </c>
      <c r="D13" s="200">
        <f>+'PG-Ermittlung Market Cap &amp; EV'!K13</f>
        <v>23.9</v>
      </c>
      <c r="E13" s="193">
        <f>ROUND(+'PG-Ermittlung Market Cap &amp; EV'!L13,0)</f>
        <v>222</v>
      </c>
      <c r="F13" s="193">
        <f>+'PG-Ermittlung Market Cap &amp; EV'!F13</f>
        <v>0.3</v>
      </c>
      <c r="G13" s="193">
        <f>+'PG-Ermittlung Market Cap &amp; EV'!G13</f>
        <v>10.782</v>
      </c>
      <c r="H13" s="193">
        <f>+'PG-Ermittlung Market Cap &amp; EV'!H13</f>
        <v>0.3</v>
      </c>
      <c r="I13" s="193">
        <f>+'PG-Ermittlung Market Cap &amp; EV'!I13</f>
        <v>37.8</v>
      </c>
      <c r="J13" s="193">
        <f>+'PG-Ermittlung Market Cap &amp; EV'!J13</f>
        <v>200.172</v>
      </c>
      <c r="K13" s="193">
        <f t="shared" si="0"/>
        <v>227</v>
      </c>
      <c r="L13" s="223">
        <f t="shared" si="1"/>
        <v>449</v>
      </c>
      <c r="M13" s="215">
        <f t="shared" si="39"/>
        <v>861</v>
      </c>
      <c r="N13" s="193">
        <f t="shared" si="39"/>
        <v>964</v>
      </c>
      <c r="O13" s="193">
        <f aca="true" t="shared" si="45" ref="O13:R14">ROUND(O39,0)</f>
        <v>101</v>
      </c>
      <c r="P13" s="193">
        <f t="shared" si="45"/>
        <v>108</v>
      </c>
      <c r="Q13" s="193">
        <f t="shared" si="45"/>
        <v>63</v>
      </c>
      <c r="R13" s="193">
        <f t="shared" si="45"/>
        <v>67</v>
      </c>
      <c r="S13" s="177">
        <f t="shared" si="3"/>
        <v>2.58</v>
      </c>
      <c r="T13" s="216">
        <f t="shared" si="4"/>
        <v>3.04</v>
      </c>
      <c r="U13" s="226">
        <f t="shared" si="27"/>
        <v>864</v>
      </c>
      <c r="V13" s="178">
        <f t="shared" si="27"/>
        <v>991</v>
      </c>
      <c r="W13" s="178">
        <f t="shared" si="27"/>
        <v>101</v>
      </c>
      <c r="X13" s="178">
        <f t="shared" si="27"/>
        <v>116</v>
      </c>
      <c r="Y13" s="178">
        <f t="shared" si="43"/>
        <v>63</v>
      </c>
      <c r="Z13" s="178">
        <f t="shared" si="43"/>
        <v>69</v>
      </c>
      <c r="AA13" s="177">
        <f t="shared" si="6"/>
        <v>2.57</v>
      </c>
      <c r="AB13" s="216">
        <f t="shared" si="7"/>
        <v>3.2</v>
      </c>
      <c r="AC13" s="227">
        <f t="shared" si="28"/>
        <v>-0.00347222222222221</v>
      </c>
      <c r="AD13" s="179">
        <f t="shared" si="8"/>
        <v>-0.0272452068617558</v>
      </c>
      <c r="AE13" s="179">
        <f t="shared" si="9"/>
        <v>0</v>
      </c>
      <c r="AF13" s="179">
        <f t="shared" si="10"/>
        <v>-0.06896551724137934</v>
      </c>
      <c r="AG13" s="179">
        <f t="shared" si="11"/>
        <v>0</v>
      </c>
      <c r="AH13" s="179">
        <f t="shared" si="12"/>
        <v>-0.02898550724637683</v>
      </c>
      <c r="AI13" s="179">
        <f t="shared" si="13"/>
        <v>0.0038910505836575737</v>
      </c>
      <c r="AJ13" s="228">
        <f t="shared" si="14"/>
        <v>-0.050000000000000044</v>
      </c>
      <c r="AK13" s="226">
        <f t="shared" si="29"/>
        <v>864</v>
      </c>
      <c r="AL13" s="178">
        <f t="shared" si="30"/>
        <v>991</v>
      </c>
      <c r="AM13" s="178">
        <f t="shared" si="31"/>
        <v>101</v>
      </c>
      <c r="AN13" s="178">
        <f t="shared" si="32"/>
        <v>116</v>
      </c>
      <c r="AO13" s="178">
        <f t="shared" si="44"/>
        <v>63</v>
      </c>
      <c r="AP13" s="178">
        <f t="shared" si="44"/>
        <v>69</v>
      </c>
      <c r="AQ13" s="177">
        <f t="shared" si="33"/>
        <v>2.57</v>
      </c>
      <c r="AR13" s="216">
        <f t="shared" si="34"/>
        <v>3.2</v>
      </c>
      <c r="AS13" s="227">
        <f t="shared" si="35"/>
        <v>0.11689814814814815</v>
      </c>
      <c r="AT13" s="179">
        <f t="shared" si="36"/>
        <v>0.1170534813319879</v>
      </c>
      <c r="AU13" s="179">
        <f t="shared" si="37"/>
        <v>0.07291666666666667</v>
      </c>
      <c r="AV13" s="179">
        <f t="shared" si="38"/>
        <v>0.06962663975782038</v>
      </c>
      <c r="AW13" s="179">
        <f t="shared" si="16"/>
        <v>0.1469907407407407</v>
      </c>
      <c r="AX13" s="178">
        <f t="shared" si="17"/>
        <v>222</v>
      </c>
      <c r="AY13" s="178">
        <f t="shared" si="18"/>
        <v>238</v>
      </c>
      <c r="AZ13" s="231">
        <f t="shared" si="19"/>
        <v>0.4826086956521739</v>
      </c>
      <c r="BA13" s="177">
        <f t="shared" si="20"/>
        <v>0.52</v>
      </c>
      <c r="BB13" s="177">
        <f t="shared" si="21"/>
        <v>0.45</v>
      </c>
      <c r="BC13" s="180">
        <f t="shared" si="40"/>
        <v>4.4</v>
      </c>
      <c r="BD13" s="180">
        <f t="shared" si="40"/>
        <v>3.9</v>
      </c>
      <c r="BE13" s="180">
        <f t="shared" si="42"/>
        <v>7.1</v>
      </c>
      <c r="BF13" s="180">
        <f t="shared" si="42"/>
        <v>6.5</v>
      </c>
      <c r="BG13" s="180">
        <f t="shared" si="23"/>
        <v>9.3</v>
      </c>
      <c r="BH13" s="180">
        <f t="shared" si="24"/>
        <v>7.5</v>
      </c>
      <c r="BI13" s="181">
        <f t="shared" si="25"/>
        <v>449</v>
      </c>
      <c r="BJ13" s="234">
        <f t="shared" si="26"/>
        <v>23.9</v>
      </c>
    </row>
    <row r="14" spans="1:62" ht="21" customHeight="1">
      <c r="A14" s="198"/>
      <c r="B14" s="185" t="s">
        <v>54</v>
      </c>
      <c r="C14" s="185" t="s">
        <v>9</v>
      </c>
      <c r="D14" s="200">
        <f>+'PG-Ermittlung Market Cap &amp; EV'!K14</f>
        <v>46.6</v>
      </c>
      <c r="E14" s="193">
        <f>ROUND(+'PG-Ermittlung Market Cap &amp; EV'!L14,0)</f>
        <v>1126</v>
      </c>
      <c r="F14" s="193">
        <f>+'PG-Ermittlung Market Cap &amp; EV'!F14</f>
        <v>69.1</v>
      </c>
      <c r="G14" s="193">
        <f>+'PG-Ermittlung Market Cap &amp; EV'!G14</f>
        <v>533.1</v>
      </c>
      <c r="H14" s="193">
        <f>+'PG-Ermittlung Market Cap &amp; EV'!H14</f>
        <v>47.3</v>
      </c>
      <c r="I14" s="193">
        <f>+'PG-Ermittlung Market Cap &amp; EV'!I14</f>
        <v>112.3</v>
      </c>
      <c r="J14" s="193">
        <f>+'PG-Ermittlung Market Cap &amp; EV'!J14</f>
        <v>2294.4</v>
      </c>
      <c r="K14" s="193">
        <f t="shared" si="0"/>
        <v>1851</v>
      </c>
      <c r="L14" s="223">
        <f t="shared" si="1"/>
        <v>2977</v>
      </c>
      <c r="M14" s="215">
        <f t="shared" si="39"/>
        <v>9700</v>
      </c>
      <c r="N14" s="193">
        <f t="shared" si="39"/>
        <v>10190</v>
      </c>
      <c r="O14" s="193">
        <f t="shared" si="45"/>
        <v>563</v>
      </c>
      <c r="P14" s="193">
        <f t="shared" si="45"/>
        <v>635</v>
      </c>
      <c r="Q14" s="193">
        <f t="shared" si="45"/>
        <v>229</v>
      </c>
      <c r="R14" s="193">
        <f t="shared" si="45"/>
        <v>310</v>
      </c>
      <c r="S14" s="177">
        <f t="shared" si="3"/>
        <v>3.74</v>
      </c>
      <c r="T14" s="216">
        <f t="shared" si="4"/>
        <v>5.59</v>
      </c>
      <c r="U14" s="226">
        <f t="shared" si="27"/>
        <v>9672</v>
      </c>
      <c r="V14" s="178">
        <f t="shared" si="27"/>
        <v>10287</v>
      </c>
      <c r="W14" s="178">
        <f t="shared" si="27"/>
        <v>551</v>
      </c>
      <c r="X14" s="178">
        <f t="shared" si="27"/>
        <v>648</v>
      </c>
      <c r="Y14" s="178">
        <f t="shared" si="43"/>
        <v>237</v>
      </c>
      <c r="Z14" s="178">
        <f t="shared" si="43"/>
        <v>319</v>
      </c>
      <c r="AA14" s="177">
        <f t="shared" si="6"/>
        <v>-0.09</v>
      </c>
      <c r="AB14" s="216">
        <f t="shared" si="7"/>
        <v>1.94</v>
      </c>
      <c r="AC14" s="227">
        <f t="shared" si="28"/>
        <v>0.0028949545078578165</v>
      </c>
      <c r="AD14" s="179">
        <f t="shared" si="8"/>
        <v>-0.00942937688344514</v>
      </c>
      <c r="AE14" s="179">
        <f t="shared" si="9"/>
        <v>0.02177858439201441</v>
      </c>
      <c r="AF14" s="179">
        <f t="shared" si="10"/>
        <v>-0.020061728395061706</v>
      </c>
      <c r="AG14" s="179">
        <f t="shared" si="11"/>
        <v>-0.03375527426160341</v>
      </c>
      <c r="AH14" s="179">
        <f t="shared" si="12"/>
        <v>-0.028213166144200663</v>
      </c>
      <c r="AI14" s="179">
        <f t="shared" si="13"/>
        <v>-42.55555555555556</v>
      </c>
      <c r="AJ14" s="228">
        <f t="shared" si="14"/>
        <v>1.8814432989690721</v>
      </c>
      <c r="AK14" s="226">
        <f t="shared" si="29"/>
        <v>9672</v>
      </c>
      <c r="AL14" s="178">
        <f t="shared" si="30"/>
        <v>10287</v>
      </c>
      <c r="AM14" s="178">
        <f t="shared" si="31"/>
        <v>551</v>
      </c>
      <c r="AN14" s="178">
        <f t="shared" si="32"/>
        <v>648</v>
      </c>
      <c r="AO14" s="178">
        <f t="shared" si="44"/>
        <v>237</v>
      </c>
      <c r="AP14" s="178">
        <f t="shared" si="44"/>
        <v>319</v>
      </c>
      <c r="AQ14" s="177">
        <f t="shared" si="33"/>
        <v>-0.09</v>
      </c>
      <c r="AR14" s="216">
        <f t="shared" si="34"/>
        <v>1.94</v>
      </c>
      <c r="AS14" s="227">
        <f t="shared" si="35"/>
        <v>0.05696856906534326</v>
      </c>
      <c r="AT14" s="179">
        <f t="shared" si="36"/>
        <v>0.06299212598425197</v>
      </c>
      <c r="AU14" s="179">
        <f t="shared" si="37"/>
        <v>0.024503722084367244</v>
      </c>
      <c r="AV14" s="179">
        <f t="shared" si="38"/>
        <v>0.031010012637309226</v>
      </c>
      <c r="AW14" s="179">
        <f t="shared" si="16"/>
        <v>0.06358560794044665</v>
      </c>
      <c r="AX14" s="178">
        <f t="shared" si="17"/>
        <v>1173</v>
      </c>
      <c r="AY14" s="178">
        <f t="shared" si="18"/>
        <v>2406</v>
      </c>
      <c r="AZ14" s="231">
        <f t="shared" si="19"/>
        <v>0.32774518021793797</v>
      </c>
      <c r="BA14" s="177">
        <f t="shared" si="20"/>
        <v>0.31</v>
      </c>
      <c r="BB14" s="177">
        <f t="shared" si="21"/>
        <v>0.29</v>
      </c>
      <c r="BC14" s="180">
        <f t="shared" si="40"/>
        <v>5.4</v>
      </c>
      <c r="BD14" s="180">
        <f t="shared" si="40"/>
        <v>4.6</v>
      </c>
      <c r="BE14" s="180">
        <f t="shared" si="42"/>
        <v>12.6</v>
      </c>
      <c r="BF14" s="180">
        <f t="shared" si="42"/>
        <v>9.3</v>
      </c>
      <c r="BG14" s="180">
        <f t="shared" si="23"/>
        <v>-517.8</v>
      </c>
      <c r="BH14" s="180">
        <f t="shared" si="24"/>
        <v>24</v>
      </c>
      <c r="BI14" s="181">
        <f t="shared" si="25"/>
        <v>2977</v>
      </c>
      <c r="BJ14" s="234">
        <f t="shared" si="26"/>
        <v>46.6</v>
      </c>
    </row>
    <row r="15" spans="1:62" ht="21" customHeight="1">
      <c r="A15" s="198"/>
      <c r="B15" s="185" t="s">
        <v>54</v>
      </c>
      <c r="C15" s="185" t="s">
        <v>8</v>
      </c>
      <c r="D15" s="200">
        <f>+'PG-Ermittlung Market Cap &amp; EV'!K15</f>
        <v>14.11</v>
      </c>
      <c r="E15" s="193">
        <f>ROUND(+'PG-Ermittlung Market Cap &amp; EV'!L15,0)</f>
        <v>148</v>
      </c>
      <c r="F15" s="193">
        <f>+'PG-Ermittlung Market Cap &amp; EV'!F15</f>
        <v>9.6</v>
      </c>
      <c r="G15" s="193">
        <f>+'PG-Ermittlung Market Cap &amp; EV'!G15</f>
        <v>2.8</v>
      </c>
      <c r="H15" s="193">
        <f>+'PG-Ermittlung Market Cap &amp; EV'!H15</f>
        <v>2.2</v>
      </c>
      <c r="I15" s="193">
        <f>+'PG-Ermittlung Market Cap &amp; EV'!I15</f>
        <v>24.4</v>
      </c>
      <c r="J15" s="193">
        <f>+'PG-Ermittlung Market Cap &amp; EV'!J15</f>
        <v>144.3</v>
      </c>
      <c r="K15" s="193">
        <f t="shared" si="0"/>
        <v>157</v>
      </c>
      <c r="L15" s="223">
        <f t="shared" si="1"/>
        <v>305</v>
      </c>
      <c r="M15" s="215"/>
      <c r="N15" s="193"/>
      <c r="O15" s="193"/>
      <c r="P15" s="193"/>
      <c r="Q15" s="193"/>
      <c r="R15" s="193"/>
      <c r="S15" s="177"/>
      <c r="T15" s="216"/>
      <c r="U15" s="226"/>
      <c r="V15" s="178"/>
      <c r="W15" s="178"/>
      <c r="X15" s="178"/>
      <c r="Y15" s="178"/>
      <c r="Z15" s="178"/>
      <c r="AA15" s="177"/>
      <c r="AB15" s="216"/>
      <c r="AC15" s="227"/>
      <c r="AD15" s="179"/>
      <c r="AE15" s="179"/>
      <c r="AF15" s="179"/>
      <c r="AG15" s="179"/>
      <c r="AH15" s="179"/>
      <c r="AI15" s="179"/>
      <c r="AJ15" s="228"/>
      <c r="AK15" s="226">
        <f t="shared" si="29"/>
        <v>0</v>
      </c>
      <c r="AL15" s="178">
        <f t="shared" si="30"/>
        <v>0</v>
      </c>
      <c r="AM15" s="184"/>
      <c r="AN15" s="184"/>
      <c r="AO15" s="184"/>
      <c r="AP15" s="184"/>
      <c r="AQ15" s="177"/>
      <c r="AR15" s="216"/>
      <c r="AS15" s="227" t="s">
        <v>50</v>
      </c>
      <c r="AT15" s="179" t="s">
        <v>50</v>
      </c>
      <c r="AU15" s="179" t="s">
        <v>50</v>
      </c>
      <c r="AV15" s="179" t="s">
        <v>50</v>
      </c>
      <c r="AW15" s="179" t="s">
        <v>50</v>
      </c>
      <c r="AX15" s="178">
        <f t="shared" si="17"/>
        <v>150</v>
      </c>
      <c r="AY15" s="178">
        <f t="shared" si="18"/>
        <v>168</v>
      </c>
      <c r="AZ15" s="231">
        <f t="shared" si="19"/>
        <v>0.4716981132075472</v>
      </c>
      <c r="BA15" s="177"/>
      <c r="BB15" s="177"/>
      <c r="BC15" s="180"/>
      <c r="BD15" s="180"/>
      <c r="BE15" s="180"/>
      <c r="BF15" s="180"/>
      <c r="BG15" s="180"/>
      <c r="BH15" s="180"/>
      <c r="BI15" s="181">
        <f t="shared" si="25"/>
        <v>305</v>
      </c>
      <c r="BJ15" s="234">
        <f t="shared" si="26"/>
        <v>14.11</v>
      </c>
    </row>
    <row r="16" spans="1:62" ht="21" customHeight="1">
      <c r="A16" s="198"/>
      <c r="B16" s="185" t="s">
        <v>54</v>
      </c>
      <c r="C16" s="185" t="s">
        <v>7</v>
      </c>
      <c r="D16" s="200">
        <f>+'PG-Ermittlung Market Cap &amp; EV'!K16</f>
        <v>9.22</v>
      </c>
      <c r="E16" s="193">
        <f>ROUND(+'PG-Ermittlung Market Cap &amp; EV'!L16,0)</f>
        <v>258</v>
      </c>
      <c r="F16" s="193">
        <f>+'PG-Ermittlung Market Cap &amp; EV'!F16</f>
        <v>55.3</v>
      </c>
      <c r="G16" s="193">
        <f>+'PG-Ermittlung Market Cap &amp; EV'!G16</f>
        <v>27.2</v>
      </c>
      <c r="H16" s="193">
        <f>+'PG-Ermittlung Market Cap &amp; EV'!H16</f>
        <v>15.3</v>
      </c>
      <c r="I16" s="193">
        <f>+'PG-Ermittlung Market Cap &amp; EV'!I16</f>
        <v>288.4</v>
      </c>
      <c r="J16" s="193">
        <f>+'PG-Ermittlung Market Cap &amp; EV'!J16</f>
        <v>294.3</v>
      </c>
      <c r="K16" s="193">
        <f t="shared" si="0"/>
        <v>515</v>
      </c>
      <c r="L16" s="223">
        <f t="shared" si="1"/>
        <v>773</v>
      </c>
      <c r="M16" s="215">
        <f aca="true" t="shared" si="46" ref="M16:R21">ROUND(M42,0)</f>
        <v>1838</v>
      </c>
      <c r="N16" s="193">
        <f t="shared" si="46"/>
        <v>1950</v>
      </c>
      <c r="O16" s="193">
        <f t="shared" si="46"/>
        <v>230</v>
      </c>
      <c r="P16" s="193">
        <f t="shared" si="46"/>
        <v>240</v>
      </c>
      <c r="Q16" s="193">
        <f t="shared" si="46"/>
        <v>65</v>
      </c>
      <c r="R16" s="193">
        <f t="shared" si="46"/>
        <v>78</v>
      </c>
      <c r="S16" s="177">
        <f aca="true" t="shared" si="47" ref="S16:S23">ROUND(S42,2)</f>
        <v>1.1</v>
      </c>
      <c r="T16" s="216">
        <f t="shared" si="4"/>
        <v>1.32</v>
      </c>
      <c r="U16" s="226">
        <f aca="true" t="shared" si="48" ref="U16:Z19">+ROUND(U42,0)</f>
        <v>1835</v>
      </c>
      <c r="V16" s="178">
        <f t="shared" si="48"/>
        <v>1880</v>
      </c>
      <c r="W16" s="178">
        <f t="shared" si="48"/>
        <v>225</v>
      </c>
      <c r="X16" s="178">
        <f t="shared" si="48"/>
        <v>239</v>
      </c>
      <c r="Y16" s="178">
        <f t="shared" si="48"/>
        <v>82</v>
      </c>
      <c r="Z16" s="178">
        <f t="shared" si="48"/>
        <v>90</v>
      </c>
      <c r="AA16" s="177">
        <f aca="true" t="shared" si="49" ref="AA16:AA23">+ROUND(AA42,2)</f>
        <v>0.94</v>
      </c>
      <c r="AB16" s="216">
        <f t="shared" si="7"/>
        <v>1.32</v>
      </c>
      <c r="AC16" s="227">
        <f t="shared" si="28"/>
        <v>0.0016348773841960984</v>
      </c>
      <c r="AD16" s="179">
        <f t="shared" si="8"/>
        <v>0.037234042553191404</v>
      </c>
      <c r="AE16" s="179">
        <f t="shared" si="9"/>
        <v>0.022222222222222143</v>
      </c>
      <c r="AF16" s="179">
        <f t="shared" si="10"/>
        <v>0.004184100418409997</v>
      </c>
      <c r="AG16" s="179">
        <f t="shared" si="11"/>
        <v>-0.20731707317073167</v>
      </c>
      <c r="AH16" s="179">
        <f t="shared" si="12"/>
        <v>-0.1333333333333333</v>
      </c>
      <c r="AI16" s="179">
        <f t="shared" si="13"/>
        <v>0.17021276595744705</v>
      </c>
      <c r="AJ16" s="228">
        <f t="shared" si="14"/>
        <v>0</v>
      </c>
      <c r="AK16" s="226">
        <f t="shared" si="29"/>
        <v>1835</v>
      </c>
      <c r="AL16" s="178">
        <f t="shared" si="30"/>
        <v>1880</v>
      </c>
      <c r="AM16" s="178">
        <f aca="true" t="shared" si="50" ref="AM16:AP19">+W16</f>
        <v>225</v>
      </c>
      <c r="AN16" s="178">
        <f t="shared" si="50"/>
        <v>239</v>
      </c>
      <c r="AO16" s="178">
        <f t="shared" si="50"/>
        <v>82</v>
      </c>
      <c r="AP16" s="178">
        <f t="shared" si="50"/>
        <v>90</v>
      </c>
      <c r="AQ16" s="177">
        <f aca="true" t="shared" si="51" ref="AQ16:AQ23">+AA16</f>
        <v>0.94</v>
      </c>
      <c r="AR16" s="216">
        <f aca="true" t="shared" si="52" ref="AR16:AR23">+AB16</f>
        <v>1.32</v>
      </c>
      <c r="AS16" s="227">
        <f t="shared" si="35"/>
        <v>0.1226158038147139</v>
      </c>
      <c r="AT16" s="179">
        <f t="shared" si="36"/>
        <v>0.1271276595744681</v>
      </c>
      <c r="AU16" s="179">
        <f t="shared" si="37"/>
        <v>0.0446866485013624</v>
      </c>
      <c r="AV16" s="179">
        <f t="shared" si="38"/>
        <v>0.047872340425531915</v>
      </c>
      <c r="AW16" s="179">
        <f aca="true" t="shared" si="53" ref="AW16:AW23">+AL16/AK16-1</f>
        <v>0.02452316076294281</v>
      </c>
      <c r="AX16" s="178">
        <f t="shared" si="17"/>
        <v>273</v>
      </c>
      <c r="AY16" s="178">
        <f t="shared" si="18"/>
        <v>582</v>
      </c>
      <c r="AZ16" s="231">
        <f t="shared" si="19"/>
        <v>0.3192982456140351</v>
      </c>
      <c r="BA16" s="177">
        <f aca="true" t="shared" si="54" ref="BA16:BB23">ROUND(+$BI16/AK16,2)</f>
        <v>0.42</v>
      </c>
      <c r="BB16" s="177">
        <f t="shared" si="54"/>
        <v>0.41</v>
      </c>
      <c r="BC16" s="180">
        <f aca="true" t="shared" si="55" ref="BC16:BF23">ROUND(+$BI16/AM16,1)</f>
        <v>3.4</v>
      </c>
      <c r="BD16" s="180">
        <f t="shared" si="55"/>
        <v>3.2</v>
      </c>
      <c r="BE16" s="180">
        <f t="shared" si="55"/>
        <v>9.4</v>
      </c>
      <c r="BF16" s="180">
        <f t="shared" si="55"/>
        <v>8.6</v>
      </c>
      <c r="BG16" s="180">
        <f aca="true" t="shared" si="56" ref="BG16:BH23">ROUND(+$BJ16/AQ16,1)</f>
        <v>9.8</v>
      </c>
      <c r="BH16" s="180">
        <f t="shared" si="56"/>
        <v>7</v>
      </c>
      <c r="BI16" s="181">
        <f t="shared" si="25"/>
        <v>773</v>
      </c>
      <c r="BJ16" s="234">
        <f t="shared" si="26"/>
        <v>9.22</v>
      </c>
    </row>
    <row r="17" spans="1:62" ht="21" customHeight="1">
      <c r="A17" s="198"/>
      <c r="B17" s="185" t="s">
        <v>68</v>
      </c>
      <c r="C17" s="185" t="s">
        <v>6</v>
      </c>
      <c r="D17" s="200">
        <f>(+'PG-Ermittlung Market Cap &amp; EV'!K17)/(USD)</f>
        <v>48.22178948447268</v>
      </c>
      <c r="E17" s="193">
        <f>ROUND((+'PG-Ermittlung Market Cap &amp; EV'!L17)/(USD),0)</f>
        <v>3168</v>
      </c>
      <c r="F17" s="193">
        <f>(+'PG-Ermittlung Market Cap &amp; EV'!F17)/(USD)</f>
        <v>0</v>
      </c>
      <c r="G17" s="193">
        <f>(+'PG-Ermittlung Market Cap &amp; EV'!G17)/(USD)</f>
        <v>102.18304806805371</v>
      </c>
      <c r="H17" s="193">
        <f>(+'PG-Ermittlung Market Cap &amp; EV'!H17)/(USD)</f>
        <v>0</v>
      </c>
      <c r="I17" s="193">
        <f>(+'PG-Ermittlung Market Cap &amp; EV'!I17)/(USD)</f>
        <v>45.095828635851184</v>
      </c>
      <c r="J17" s="193">
        <f>(+'PG-Ermittlung Market Cap &amp; EV'!J17)/(USD)</f>
        <v>2296.5050732807213</v>
      </c>
      <c r="K17" s="193">
        <f t="shared" si="0"/>
        <v>2240</v>
      </c>
      <c r="L17" s="223">
        <f t="shared" si="1"/>
        <v>5408</v>
      </c>
      <c r="M17" s="215">
        <f t="shared" si="46"/>
        <v>14415</v>
      </c>
      <c r="N17" s="193">
        <f t="shared" si="46"/>
        <v>15033</v>
      </c>
      <c r="O17" s="193">
        <f t="shared" si="46"/>
        <v>1094</v>
      </c>
      <c r="P17" s="193">
        <f t="shared" si="46"/>
        <v>1222</v>
      </c>
      <c r="Q17" s="193">
        <f t="shared" si="46"/>
        <v>745</v>
      </c>
      <c r="R17" s="193">
        <f t="shared" si="46"/>
        <v>822</v>
      </c>
      <c r="S17" s="177">
        <f t="shared" si="47"/>
        <v>4.51</v>
      </c>
      <c r="T17" s="216">
        <f t="shared" si="4"/>
        <v>5.29</v>
      </c>
      <c r="U17" s="226">
        <f t="shared" si="48"/>
        <v>14614</v>
      </c>
      <c r="V17" s="178">
        <f t="shared" si="48"/>
        <v>15412</v>
      </c>
      <c r="W17" s="178">
        <f t="shared" si="48"/>
        <v>1020</v>
      </c>
      <c r="X17" s="178">
        <f t="shared" si="48"/>
        <v>1094</v>
      </c>
      <c r="Y17" s="178">
        <f t="shared" si="48"/>
        <v>754</v>
      </c>
      <c r="Z17" s="178">
        <f t="shared" si="48"/>
        <v>755</v>
      </c>
      <c r="AA17" s="177">
        <f t="shared" si="49"/>
        <v>4.57</v>
      </c>
      <c r="AB17" s="216">
        <f t="shared" si="7"/>
        <v>5.3</v>
      </c>
      <c r="AC17" s="227">
        <f t="shared" si="28"/>
        <v>-0.013617079512796004</v>
      </c>
      <c r="AD17" s="179">
        <f t="shared" si="8"/>
        <v>-0.024591227614845557</v>
      </c>
      <c r="AE17" s="179">
        <f t="shared" si="9"/>
        <v>0.0725490196078431</v>
      </c>
      <c r="AF17" s="179">
        <f t="shared" si="10"/>
        <v>0.11700182815356497</v>
      </c>
      <c r="AG17" s="179">
        <f t="shared" si="11"/>
        <v>-0.011936339522546469</v>
      </c>
      <c r="AH17" s="179">
        <f t="shared" si="12"/>
        <v>0.08874172185430473</v>
      </c>
      <c r="AI17" s="179">
        <f t="shared" si="13"/>
        <v>-0.013129102844639085</v>
      </c>
      <c r="AJ17" s="228">
        <f t="shared" si="14"/>
        <v>-0.0018867924528301883</v>
      </c>
      <c r="AK17" s="226">
        <f t="shared" si="29"/>
        <v>14614</v>
      </c>
      <c r="AL17" s="178">
        <f t="shared" si="30"/>
        <v>15412</v>
      </c>
      <c r="AM17" s="178">
        <f t="shared" si="50"/>
        <v>1020</v>
      </c>
      <c r="AN17" s="178">
        <f t="shared" si="50"/>
        <v>1094</v>
      </c>
      <c r="AO17" s="178">
        <f t="shared" si="50"/>
        <v>754</v>
      </c>
      <c r="AP17" s="178">
        <f t="shared" si="50"/>
        <v>755</v>
      </c>
      <c r="AQ17" s="177">
        <f t="shared" si="51"/>
        <v>4.57</v>
      </c>
      <c r="AR17" s="216">
        <f t="shared" si="52"/>
        <v>5.3</v>
      </c>
      <c r="AS17" s="227">
        <f t="shared" si="35"/>
        <v>0.06979608594498427</v>
      </c>
      <c r="AT17" s="179">
        <f t="shared" si="36"/>
        <v>0.07098364910459383</v>
      </c>
      <c r="AU17" s="179">
        <f t="shared" si="37"/>
        <v>0.05159436157109621</v>
      </c>
      <c r="AV17" s="179">
        <f t="shared" si="38"/>
        <v>0.048987801712950946</v>
      </c>
      <c r="AW17" s="179">
        <f t="shared" si="53"/>
        <v>0.05460517312166413</v>
      </c>
      <c r="AX17" s="178">
        <f t="shared" si="17"/>
        <v>3168</v>
      </c>
      <c r="AY17" s="178">
        <f t="shared" si="18"/>
        <v>2342</v>
      </c>
      <c r="AZ17" s="231">
        <f t="shared" si="19"/>
        <v>0.5749546279491833</v>
      </c>
      <c r="BA17" s="177">
        <f t="shared" si="54"/>
        <v>0.37</v>
      </c>
      <c r="BB17" s="177">
        <f t="shared" si="54"/>
        <v>0.35</v>
      </c>
      <c r="BC17" s="180">
        <f t="shared" si="55"/>
        <v>5.3</v>
      </c>
      <c r="BD17" s="180">
        <f t="shared" si="55"/>
        <v>4.9</v>
      </c>
      <c r="BE17" s="180">
        <f t="shared" si="55"/>
        <v>7.2</v>
      </c>
      <c r="BF17" s="180">
        <f t="shared" si="55"/>
        <v>7.2</v>
      </c>
      <c r="BG17" s="180">
        <f t="shared" si="56"/>
        <v>10.6</v>
      </c>
      <c r="BH17" s="180">
        <f t="shared" si="56"/>
        <v>9.1</v>
      </c>
      <c r="BI17" s="181">
        <f t="shared" si="25"/>
        <v>5408</v>
      </c>
      <c r="BJ17" s="234">
        <f t="shared" si="26"/>
        <v>48.22178948447268</v>
      </c>
    </row>
    <row r="18" spans="1:62" ht="21" customHeight="1">
      <c r="A18" s="198"/>
      <c r="B18" s="185" t="s">
        <v>82</v>
      </c>
      <c r="C18" s="185" t="s">
        <v>5</v>
      </c>
      <c r="D18" s="200">
        <f>(+'PG-Ermittlung Market Cap &amp; EV'!K18)/(CAD)</f>
        <v>149.19416730621643</v>
      </c>
      <c r="E18" s="193">
        <f>ROUND((+'PG-Ermittlung Market Cap &amp; EV'!L18)/(CAD),0)</f>
        <v>13482</v>
      </c>
      <c r="F18" s="193">
        <f>(+'PG-Ermittlung Market Cap &amp; EV'!F18)/(CAD)</f>
        <v>133.5379892555641</v>
      </c>
      <c r="G18" s="193">
        <f>(+'PG-Ermittlung Market Cap &amp; EV'!G18)/(CAD)</f>
        <v>1607.060629316961</v>
      </c>
      <c r="H18" s="193">
        <f>(+'PG-Ermittlung Market Cap &amp; EV'!H18)/(CAD)</f>
        <v>704.5280122793554</v>
      </c>
      <c r="I18" s="193">
        <f>(+'PG-Ermittlung Market Cap &amp; EV'!I18)/(CAD)</f>
        <v>130.46815042210284</v>
      </c>
      <c r="J18" s="193">
        <f>(+'PG-Ermittlung Market Cap &amp; EV'!J18)/(CAD)</f>
        <v>1430.5448963929393</v>
      </c>
      <c r="K18" s="193">
        <f t="shared" si="0"/>
        <v>525</v>
      </c>
      <c r="L18" s="223">
        <f t="shared" si="1"/>
        <v>14007</v>
      </c>
      <c r="M18" s="215">
        <f t="shared" si="46"/>
        <v>29490</v>
      </c>
      <c r="N18" s="193">
        <f t="shared" si="46"/>
        <v>33340</v>
      </c>
      <c r="O18" s="193">
        <f t="shared" si="46"/>
        <v>3173</v>
      </c>
      <c r="P18" s="193">
        <f t="shared" si="46"/>
        <v>3680</v>
      </c>
      <c r="Q18" s="193">
        <f t="shared" si="46"/>
        <v>2203</v>
      </c>
      <c r="R18" s="193">
        <f t="shared" si="46"/>
        <v>2530</v>
      </c>
      <c r="S18" s="177">
        <f t="shared" si="47"/>
        <v>14.64</v>
      </c>
      <c r="T18" s="216">
        <f t="shared" si="4"/>
        <v>16.61</v>
      </c>
      <c r="U18" s="226">
        <f t="shared" si="48"/>
        <v>28127</v>
      </c>
      <c r="V18" s="178">
        <f t="shared" si="48"/>
        <v>32271</v>
      </c>
      <c r="W18" s="178">
        <f t="shared" si="48"/>
        <v>3177</v>
      </c>
      <c r="X18" s="178">
        <f t="shared" si="48"/>
        <v>3859</v>
      </c>
      <c r="Y18" s="178">
        <f t="shared" si="48"/>
        <v>2214</v>
      </c>
      <c r="Z18" s="178">
        <f t="shared" si="48"/>
        <v>2616</v>
      </c>
      <c r="AA18" s="177">
        <f t="shared" si="49"/>
        <v>13.98</v>
      </c>
      <c r="AB18" s="216">
        <f t="shared" si="7"/>
        <v>15.44</v>
      </c>
      <c r="AC18" s="227">
        <f t="shared" si="28"/>
        <v>0.048458776264799</v>
      </c>
      <c r="AD18" s="179">
        <f t="shared" si="8"/>
        <v>0.0331257165876484</v>
      </c>
      <c r="AE18" s="179">
        <f t="shared" si="9"/>
        <v>-0.0012590494176896172</v>
      </c>
      <c r="AF18" s="179">
        <f t="shared" si="10"/>
        <v>-0.046385073853329906</v>
      </c>
      <c r="AG18" s="179">
        <f t="shared" si="11"/>
        <v>-0.0049683830171635135</v>
      </c>
      <c r="AH18" s="179">
        <f t="shared" si="12"/>
        <v>-0.032874617737003065</v>
      </c>
      <c r="AI18" s="179">
        <f t="shared" si="13"/>
        <v>0.047210300429184615</v>
      </c>
      <c r="AJ18" s="228">
        <f t="shared" si="14"/>
        <v>0.07577720207253891</v>
      </c>
      <c r="AK18" s="226">
        <f t="shared" si="29"/>
        <v>28127</v>
      </c>
      <c r="AL18" s="178">
        <f t="shared" si="30"/>
        <v>32271</v>
      </c>
      <c r="AM18" s="178">
        <f t="shared" si="50"/>
        <v>3177</v>
      </c>
      <c r="AN18" s="178">
        <f t="shared" si="50"/>
        <v>3859</v>
      </c>
      <c r="AO18" s="178">
        <f t="shared" si="50"/>
        <v>2214</v>
      </c>
      <c r="AP18" s="178">
        <f t="shared" si="50"/>
        <v>2616</v>
      </c>
      <c r="AQ18" s="177">
        <f t="shared" si="51"/>
        <v>13.98</v>
      </c>
      <c r="AR18" s="216">
        <f t="shared" si="52"/>
        <v>15.44</v>
      </c>
      <c r="AS18" s="227">
        <f t="shared" si="35"/>
        <v>0.11295196786006328</v>
      </c>
      <c r="AT18" s="179">
        <f t="shared" si="36"/>
        <v>0.1195810479997521</v>
      </c>
      <c r="AU18" s="179">
        <f t="shared" si="37"/>
        <v>0.07871440253137554</v>
      </c>
      <c r="AV18" s="179">
        <f t="shared" si="38"/>
        <v>0.08106349353909083</v>
      </c>
      <c r="AW18" s="179">
        <f t="shared" si="53"/>
        <v>0.14733174529811222</v>
      </c>
      <c r="AX18" s="178">
        <f t="shared" si="17"/>
        <v>14187</v>
      </c>
      <c r="AY18" s="178">
        <f t="shared" si="18"/>
        <v>1561</v>
      </c>
      <c r="AZ18" s="231">
        <f>+AX18/(AX18+AY18)</f>
        <v>0.9008763017526035</v>
      </c>
      <c r="BA18" s="177">
        <f t="shared" si="54"/>
        <v>0.5</v>
      </c>
      <c r="BB18" s="177">
        <f t="shared" si="54"/>
        <v>0.43</v>
      </c>
      <c r="BC18" s="180">
        <f t="shared" si="55"/>
        <v>4.4</v>
      </c>
      <c r="BD18" s="180">
        <f t="shared" si="55"/>
        <v>3.6</v>
      </c>
      <c r="BE18" s="180">
        <f t="shared" si="55"/>
        <v>6.3</v>
      </c>
      <c r="BF18" s="180">
        <f t="shared" si="55"/>
        <v>5.4</v>
      </c>
      <c r="BG18" s="180">
        <f t="shared" si="56"/>
        <v>10.7</v>
      </c>
      <c r="BH18" s="180">
        <f t="shared" si="56"/>
        <v>9.7</v>
      </c>
      <c r="BI18" s="181">
        <f t="shared" si="25"/>
        <v>14007</v>
      </c>
      <c r="BJ18" s="234">
        <f t="shared" si="26"/>
        <v>149.19416730621643</v>
      </c>
    </row>
    <row r="19" spans="1:62" ht="21" customHeight="1">
      <c r="A19" s="198"/>
      <c r="B19" s="185" t="s">
        <v>54</v>
      </c>
      <c r="C19" s="185" t="s">
        <v>4</v>
      </c>
      <c r="D19" s="200">
        <f>+'PG-Ermittlung Market Cap &amp; EV'!K19</f>
        <v>38.6</v>
      </c>
      <c r="E19" s="193">
        <f>ROUND(+'PG-Ermittlung Market Cap &amp; EV'!L19,0)</f>
        <v>5250</v>
      </c>
      <c r="F19" s="193">
        <f>+'PG-Ermittlung Market Cap &amp; EV'!F19</f>
        <v>493.13699999999994</v>
      </c>
      <c r="G19" s="193">
        <f>+'PG-Ermittlung Market Cap &amp; EV'!G19</f>
        <v>785.61</v>
      </c>
      <c r="H19" s="193">
        <f>+'PG-Ermittlung Market Cap &amp; EV'!H19</f>
        <v>329.5</v>
      </c>
      <c r="I19" s="193">
        <f>+'PG-Ermittlung Market Cap &amp; EV'!I19</f>
        <v>2637.7</v>
      </c>
      <c r="J19" s="193">
        <f>+'PG-Ermittlung Market Cap &amp; EV'!J19</f>
        <v>5820.467</v>
      </c>
      <c r="K19" s="193">
        <f t="shared" si="0"/>
        <v>7509</v>
      </c>
      <c r="L19" s="223">
        <f t="shared" si="1"/>
        <v>12759</v>
      </c>
      <c r="M19" s="215">
        <f t="shared" si="46"/>
        <v>15903</v>
      </c>
      <c r="N19" s="193">
        <f t="shared" si="46"/>
        <v>16404</v>
      </c>
      <c r="O19" s="193">
        <f t="shared" si="46"/>
        <v>2086</v>
      </c>
      <c r="P19" s="193">
        <f t="shared" si="46"/>
        <v>2319</v>
      </c>
      <c r="Q19" s="193">
        <f t="shared" si="46"/>
        <v>1139</v>
      </c>
      <c r="R19" s="193">
        <f t="shared" si="46"/>
        <v>1308</v>
      </c>
      <c r="S19" s="177">
        <f t="shared" si="47"/>
        <v>3.38</v>
      </c>
      <c r="T19" s="216">
        <f t="shared" si="4"/>
        <v>4.12</v>
      </c>
      <c r="U19" s="226">
        <f t="shared" si="48"/>
        <v>15868</v>
      </c>
      <c r="V19" s="178">
        <f t="shared" si="48"/>
        <v>16394</v>
      </c>
      <c r="W19" s="178">
        <f t="shared" si="48"/>
        <v>2075</v>
      </c>
      <c r="X19" s="178">
        <f t="shared" si="48"/>
        <v>2272</v>
      </c>
      <c r="Y19" s="178">
        <f t="shared" si="48"/>
        <v>1130</v>
      </c>
      <c r="Z19" s="178">
        <f t="shared" si="48"/>
        <v>1304</v>
      </c>
      <c r="AA19" s="177">
        <f t="shared" si="49"/>
        <v>3.48</v>
      </c>
      <c r="AB19" s="216">
        <f t="shared" si="7"/>
        <v>4.5</v>
      </c>
      <c r="AC19" s="227">
        <f t="shared" si="28"/>
        <v>0.0022056970002519716</v>
      </c>
      <c r="AD19" s="179">
        <f t="shared" si="8"/>
        <v>0.0006099792607050514</v>
      </c>
      <c r="AE19" s="179">
        <f t="shared" si="9"/>
        <v>0.005301204819277094</v>
      </c>
      <c r="AF19" s="179">
        <f t="shared" si="10"/>
        <v>0.020686619718309762</v>
      </c>
      <c r="AG19" s="179">
        <f t="shared" si="11"/>
        <v>0.007964601769911539</v>
      </c>
      <c r="AH19" s="179">
        <f t="shared" si="12"/>
        <v>0.0030674846625766694</v>
      </c>
      <c r="AI19" s="179">
        <f t="shared" si="13"/>
        <v>-0.028735632183908066</v>
      </c>
      <c r="AJ19" s="228">
        <f t="shared" si="14"/>
        <v>-0.08444444444444443</v>
      </c>
      <c r="AK19" s="226">
        <f t="shared" si="29"/>
        <v>15868</v>
      </c>
      <c r="AL19" s="178">
        <f t="shared" si="30"/>
        <v>16394</v>
      </c>
      <c r="AM19" s="178">
        <f t="shared" si="50"/>
        <v>2075</v>
      </c>
      <c r="AN19" s="178">
        <f t="shared" si="50"/>
        <v>2272</v>
      </c>
      <c r="AO19" s="178">
        <f t="shared" si="50"/>
        <v>1130</v>
      </c>
      <c r="AP19" s="178">
        <f t="shared" si="50"/>
        <v>1304</v>
      </c>
      <c r="AQ19" s="177">
        <f t="shared" si="51"/>
        <v>3.48</v>
      </c>
      <c r="AR19" s="216">
        <f t="shared" si="52"/>
        <v>4.5</v>
      </c>
      <c r="AS19" s="227">
        <f t="shared" si="35"/>
        <v>0.13076632215780187</v>
      </c>
      <c r="AT19" s="179">
        <f t="shared" si="36"/>
        <v>0.1385872880322069</v>
      </c>
      <c r="AU19" s="179">
        <f t="shared" si="37"/>
        <v>0.07121250315099571</v>
      </c>
      <c r="AV19" s="179">
        <f t="shared" si="38"/>
        <v>0.07954129559594973</v>
      </c>
      <c r="AW19" s="179">
        <f t="shared" si="53"/>
        <v>0.033148474918074156</v>
      </c>
      <c r="AX19" s="178">
        <f t="shared" si="17"/>
        <v>5580</v>
      </c>
      <c r="AY19" s="178">
        <f t="shared" si="18"/>
        <v>8458</v>
      </c>
      <c r="AZ19" s="231">
        <f t="shared" si="19"/>
        <v>0.3974925203020373</v>
      </c>
      <c r="BA19" s="177">
        <f t="shared" si="54"/>
        <v>0.8</v>
      </c>
      <c r="BB19" s="177">
        <f t="shared" si="54"/>
        <v>0.78</v>
      </c>
      <c r="BC19" s="180">
        <f t="shared" si="55"/>
        <v>6.1</v>
      </c>
      <c r="BD19" s="180">
        <f t="shared" si="55"/>
        <v>5.6</v>
      </c>
      <c r="BE19" s="180">
        <f t="shared" si="55"/>
        <v>11.3</v>
      </c>
      <c r="BF19" s="180">
        <f t="shared" si="55"/>
        <v>9.8</v>
      </c>
      <c r="BG19" s="180">
        <f t="shared" si="56"/>
        <v>11.1</v>
      </c>
      <c r="BH19" s="180">
        <f t="shared" si="56"/>
        <v>8.6</v>
      </c>
      <c r="BI19" s="181">
        <f t="shared" si="25"/>
        <v>12759</v>
      </c>
      <c r="BJ19" s="234">
        <f t="shared" si="26"/>
        <v>38.6</v>
      </c>
    </row>
    <row r="20" spans="1:62" ht="21" customHeight="1">
      <c r="A20" s="198"/>
      <c r="B20" s="185" t="s">
        <v>68</v>
      </c>
      <c r="C20" s="185" t="s">
        <v>3</v>
      </c>
      <c r="D20" s="200">
        <f>(+'PG-Ermittlung Market Cap &amp; EV'!K20)/(USD)</f>
        <v>57.32294762734447</v>
      </c>
      <c r="E20" s="193">
        <f>ROUND((+'PG-Ermittlung Market Cap &amp; EV'!L20)/(USD),0)</f>
        <v>7373</v>
      </c>
      <c r="F20" s="193">
        <f>(+'PG-Ermittlung Market Cap &amp; EV'!F20)/(USD)</f>
        <v>612.8933073690683</v>
      </c>
      <c r="G20" s="193">
        <f>(+'PG-Ermittlung Market Cap &amp; EV'!G20)/(USD)</f>
        <v>265.4504458337604</v>
      </c>
      <c r="H20" s="193">
        <f>(+'PG-Ermittlung Market Cap &amp; EV'!H20)/(USD)</f>
        <v>86.09203648662499</v>
      </c>
      <c r="I20" s="193">
        <f>(+'PG-Ermittlung Market Cap &amp; EV'!I20)/(USD)</f>
        <v>-2953.7767756482526</v>
      </c>
      <c r="J20" s="193">
        <f>(+'PG-Ermittlung Market Cap &amp; EV'!J20)/(USD)</f>
        <v>5677.974787332172</v>
      </c>
      <c r="K20" s="193">
        <f t="shared" si="0"/>
        <v>1932</v>
      </c>
      <c r="L20" s="223">
        <f t="shared" si="1"/>
        <v>9305</v>
      </c>
      <c r="M20" s="215">
        <f t="shared" si="46"/>
        <v>16596</v>
      </c>
      <c r="N20" s="193">
        <f t="shared" si="46"/>
        <v>17344</v>
      </c>
      <c r="O20" s="193">
        <f t="shared" si="46"/>
        <v>1660</v>
      </c>
      <c r="P20" s="193">
        <f t="shared" si="46"/>
        <v>1778</v>
      </c>
      <c r="Q20" s="193">
        <f t="shared" si="46"/>
        <v>1002</v>
      </c>
      <c r="R20" s="193">
        <f t="shared" si="46"/>
        <v>1130</v>
      </c>
      <c r="S20" s="177">
        <f t="shared" si="47"/>
        <v>3.63</v>
      </c>
      <c r="T20" s="216">
        <f t="shared" si="4"/>
        <v>4.03</v>
      </c>
      <c r="U20" s="226">
        <f>+ROUND(U46,0)</f>
        <v>16663</v>
      </c>
      <c r="V20" s="178">
        <f>+ROUND(V46,0)</f>
        <v>17604</v>
      </c>
      <c r="W20" s="178"/>
      <c r="X20" s="178"/>
      <c r="Y20" s="178"/>
      <c r="Z20" s="178"/>
      <c r="AA20" s="177">
        <f t="shared" si="49"/>
        <v>3.59</v>
      </c>
      <c r="AB20" s="216">
        <f t="shared" si="7"/>
        <v>4.16</v>
      </c>
      <c r="AC20" s="227">
        <f t="shared" si="28"/>
        <v>-0.004020884594610807</v>
      </c>
      <c r="AD20" s="179">
        <f t="shared" si="8"/>
        <v>-0.014769370597591425</v>
      </c>
      <c r="AE20" s="179"/>
      <c r="AF20" s="179"/>
      <c r="AG20" s="179"/>
      <c r="AH20" s="179"/>
      <c r="AI20" s="179">
        <f t="shared" si="13"/>
        <v>0.011142061281337101</v>
      </c>
      <c r="AJ20" s="228">
        <f t="shared" si="14"/>
        <v>-0.03125</v>
      </c>
      <c r="AK20" s="226">
        <f t="shared" si="29"/>
        <v>16663</v>
      </c>
      <c r="AL20" s="178">
        <f t="shared" si="30"/>
        <v>17604</v>
      </c>
      <c r="AM20" s="182">
        <f>+O20</f>
        <v>1660</v>
      </c>
      <c r="AN20" s="182">
        <f>+P20</f>
        <v>1778</v>
      </c>
      <c r="AO20" s="182">
        <f>+Q20</f>
        <v>1002</v>
      </c>
      <c r="AP20" s="182">
        <f>+R20</f>
        <v>1130</v>
      </c>
      <c r="AQ20" s="177">
        <f t="shared" si="51"/>
        <v>3.59</v>
      </c>
      <c r="AR20" s="216">
        <f t="shared" si="52"/>
        <v>4.16</v>
      </c>
      <c r="AS20" s="227">
        <f t="shared" si="35"/>
        <v>0.09962191682170077</v>
      </c>
      <c r="AT20" s="179">
        <f t="shared" si="36"/>
        <v>0.10099977277891388</v>
      </c>
      <c r="AU20" s="179">
        <f t="shared" si="37"/>
        <v>0.060133229310448295</v>
      </c>
      <c r="AV20" s="179">
        <f t="shared" si="38"/>
        <v>0.06418995682799364</v>
      </c>
      <c r="AW20" s="179">
        <f t="shared" si="53"/>
        <v>0.05647242393326524</v>
      </c>
      <c r="AX20" s="178">
        <f t="shared" si="17"/>
        <v>7459</v>
      </c>
      <c r="AY20" s="178">
        <f t="shared" si="18"/>
        <v>2724</v>
      </c>
      <c r="AZ20" s="231">
        <f t="shared" si="19"/>
        <v>0.7324953353628597</v>
      </c>
      <c r="BA20" s="177">
        <f t="shared" si="54"/>
        <v>0.56</v>
      </c>
      <c r="BB20" s="177">
        <f t="shared" si="54"/>
        <v>0.53</v>
      </c>
      <c r="BC20" s="180">
        <f t="shared" si="55"/>
        <v>5.6</v>
      </c>
      <c r="BD20" s="180">
        <f t="shared" si="55"/>
        <v>5.2</v>
      </c>
      <c r="BE20" s="180">
        <f t="shared" si="55"/>
        <v>9.3</v>
      </c>
      <c r="BF20" s="180">
        <f t="shared" si="55"/>
        <v>8.2</v>
      </c>
      <c r="BG20" s="180">
        <f t="shared" si="56"/>
        <v>16</v>
      </c>
      <c r="BH20" s="180">
        <f t="shared" si="56"/>
        <v>13.8</v>
      </c>
      <c r="BI20" s="181">
        <f t="shared" si="25"/>
        <v>9305</v>
      </c>
      <c r="BJ20" s="234">
        <f t="shared" si="26"/>
        <v>57.32294762734447</v>
      </c>
    </row>
    <row r="21" spans="1:62" ht="21" customHeight="1">
      <c r="A21" s="198"/>
      <c r="B21" s="185" t="s">
        <v>54</v>
      </c>
      <c r="C21" s="185" t="s">
        <v>2</v>
      </c>
      <c r="D21" s="200">
        <f>+'PG-Ermittlung Market Cap &amp; EV'!K21</f>
        <v>39.6</v>
      </c>
      <c r="E21" s="193">
        <f>ROUND(+'PG-Ermittlung Market Cap &amp; EV'!L21,0)</f>
        <v>3300</v>
      </c>
      <c r="F21" s="193">
        <f>+'PG-Ermittlung Market Cap &amp; EV'!F21</f>
        <v>226</v>
      </c>
      <c r="G21" s="193">
        <f>+'PG-Ermittlung Market Cap &amp; EV'!G21</f>
        <v>831</v>
      </c>
      <c r="H21" s="193">
        <f>+'PG-Ermittlung Market Cap &amp; EV'!H21</f>
        <v>130</v>
      </c>
      <c r="I21" s="193">
        <f>+'PG-Ermittlung Market Cap &amp; EV'!I21</f>
        <v>607</v>
      </c>
      <c r="J21" s="193">
        <f>+'PG-Ermittlung Market Cap &amp; EV'!J21</f>
        <v>1364</v>
      </c>
      <c r="K21" s="193">
        <f t="shared" si="0"/>
        <v>1044</v>
      </c>
      <c r="L21" s="223">
        <f t="shared" si="1"/>
        <v>4344</v>
      </c>
      <c r="M21" s="215">
        <f t="shared" si="46"/>
        <v>9868</v>
      </c>
      <c r="N21" s="193">
        <f t="shared" si="46"/>
        <v>10280</v>
      </c>
      <c r="O21" s="193">
        <f t="shared" si="46"/>
        <v>1027</v>
      </c>
      <c r="P21" s="193">
        <f t="shared" si="46"/>
        <v>1121</v>
      </c>
      <c r="Q21" s="193">
        <f t="shared" si="46"/>
        <v>474</v>
      </c>
      <c r="R21" s="193">
        <f t="shared" si="46"/>
        <v>573</v>
      </c>
      <c r="S21" s="177">
        <f t="shared" si="47"/>
        <v>2.85</v>
      </c>
      <c r="T21" s="216">
        <f t="shared" si="4"/>
        <v>3.59</v>
      </c>
      <c r="U21" s="226">
        <f>+ROUND(U47,0)</f>
        <v>9859</v>
      </c>
      <c r="V21" s="178">
        <f>+ROUND(V47,0)</f>
        <v>10333</v>
      </c>
      <c r="W21" s="178">
        <f>+ROUND(W47,0)</f>
        <v>1028</v>
      </c>
      <c r="X21" s="178">
        <f>+ROUND(X47,0)</f>
        <v>1132</v>
      </c>
      <c r="Y21" s="178">
        <f>+ROUND(Y47,0)</f>
        <v>466</v>
      </c>
      <c r="Z21" s="178">
        <f>+ROUND(Z47,0)</f>
        <v>571</v>
      </c>
      <c r="AA21" s="177">
        <f t="shared" si="49"/>
        <v>2.23</v>
      </c>
      <c r="AB21" s="216">
        <f t="shared" si="7"/>
        <v>3.1</v>
      </c>
      <c r="AC21" s="227">
        <f t="shared" si="28"/>
        <v>0.0009128714879804711</v>
      </c>
      <c r="AD21" s="179">
        <f t="shared" si="8"/>
        <v>-0.005129197716055356</v>
      </c>
      <c r="AE21" s="179">
        <f t="shared" si="9"/>
        <v>-0.0009727626459143934</v>
      </c>
      <c r="AF21" s="179">
        <f t="shared" si="10"/>
        <v>-0.009717314487632467</v>
      </c>
      <c r="AG21" s="179">
        <f t="shared" si="11"/>
        <v>0.01716738197424883</v>
      </c>
      <c r="AH21" s="179">
        <f t="shared" si="12"/>
        <v>0.003502626970227629</v>
      </c>
      <c r="AI21" s="179">
        <f t="shared" si="13"/>
        <v>0.27802690582959655</v>
      </c>
      <c r="AJ21" s="228">
        <f t="shared" si="14"/>
        <v>0.15806451612903216</v>
      </c>
      <c r="AK21" s="226">
        <f t="shared" si="29"/>
        <v>9859</v>
      </c>
      <c r="AL21" s="178">
        <f t="shared" si="30"/>
        <v>10333</v>
      </c>
      <c r="AM21" s="178">
        <f aca="true" t="shared" si="57" ref="AM21:AP22">+W21</f>
        <v>1028</v>
      </c>
      <c r="AN21" s="178">
        <f t="shared" si="57"/>
        <v>1132</v>
      </c>
      <c r="AO21" s="178">
        <f t="shared" si="57"/>
        <v>466</v>
      </c>
      <c r="AP21" s="178">
        <f t="shared" si="57"/>
        <v>571</v>
      </c>
      <c r="AQ21" s="177">
        <f t="shared" si="51"/>
        <v>2.23</v>
      </c>
      <c r="AR21" s="216">
        <f t="shared" si="52"/>
        <v>3.1</v>
      </c>
      <c r="AS21" s="227">
        <f t="shared" si="35"/>
        <v>0.10427020996044224</v>
      </c>
      <c r="AT21" s="179">
        <f t="shared" si="36"/>
        <v>0.10955192102971063</v>
      </c>
      <c r="AU21" s="179">
        <f t="shared" si="37"/>
        <v>0.04726645704432498</v>
      </c>
      <c r="AV21" s="179">
        <f t="shared" si="38"/>
        <v>0.055259847091841674</v>
      </c>
      <c r="AW21" s="179">
        <f t="shared" si="53"/>
        <v>0.04807789836697429</v>
      </c>
      <c r="AX21" s="178">
        <f t="shared" si="17"/>
        <v>3430</v>
      </c>
      <c r="AY21" s="178">
        <f t="shared" si="18"/>
        <v>1971</v>
      </c>
      <c r="AZ21" s="231">
        <f t="shared" si="19"/>
        <v>0.6350675800777634</v>
      </c>
      <c r="BA21" s="177">
        <f t="shared" si="54"/>
        <v>0.44</v>
      </c>
      <c r="BB21" s="177">
        <f t="shared" si="54"/>
        <v>0.42</v>
      </c>
      <c r="BC21" s="180">
        <f t="shared" si="55"/>
        <v>4.2</v>
      </c>
      <c r="BD21" s="180">
        <f t="shared" si="55"/>
        <v>3.8</v>
      </c>
      <c r="BE21" s="180">
        <f t="shared" si="55"/>
        <v>9.3</v>
      </c>
      <c r="BF21" s="180">
        <f t="shared" si="55"/>
        <v>7.6</v>
      </c>
      <c r="BG21" s="180">
        <f t="shared" si="56"/>
        <v>17.8</v>
      </c>
      <c r="BH21" s="180">
        <f t="shared" si="56"/>
        <v>12.8</v>
      </c>
      <c r="BI21" s="181">
        <f t="shared" si="25"/>
        <v>4344</v>
      </c>
      <c r="BJ21" s="234">
        <f t="shared" si="26"/>
        <v>39.6</v>
      </c>
    </row>
    <row r="22" spans="1:62" ht="21" customHeight="1">
      <c r="A22" s="198"/>
      <c r="B22" s="185" t="s">
        <v>68</v>
      </c>
      <c r="C22" s="185" t="s">
        <v>1</v>
      </c>
      <c r="D22" s="200">
        <f>(+'PG-Ermittlung Market Cap &amp; EV'!K22)/(USD)</f>
        <v>11.540432509992826</v>
      </c>
      <c r="E22" s="193">
        <f>ROUND((+'PG-Ermittlung Market Cap &amp; EV'!L22)/(USD),0)</f>
        <v>1509</v>
      </c>
      <c r="F22" s="193">
        <f>(+'PG-Ermittlung Market Cap &amp; EV'!F22)/(USD)</f>
        <v>168.0844521881726</v>
      </c>
      <c r="G22" s="193">
        <f>(+'PG-Ermittlung Market Cap &amp; EV'!G22)/(USD)</f>
        <v>1249.3594342523315</v>
      </c>
      <c r="H22" s="193">
        <f>(+'PG-Ermittlung Market Cap &amp; EV'!H22)/(USD)</f>
        <v>0</v>
      </c>
      <c r="I22" s="193">
        <f>(+'PG-Ermittlung Market Cap &amp; EV'!I22)/(USD)</f>
        <v>2250.6918110074816</v>
      </c>
      <c r="J22" s="193">
        <f>(+'PG-Ermittlung Market Cap &amp; EV'!J22)/(USD)</f>
        <v>1854.0535000512452</v>
      </c>
      <c r="K22" s="193">
        <f t="shared" si="0"/>
        <v>2688</v>
      </c>
      <c r="L22" s="223">
        <f t="shared" si="1"/>
        <v>4197</v>
      </c>
      <c r="M22" s="215">
        <f>ROUND(M48,0)</f>
        <v>18567</v>
      </c>
      <c r="N22" s="193">
        <f>ROUND(N48,0)</f>
        <v>18679</v>
      </c>
      <c r="O22" s="193"/>
      <c r="P22" s="193"/>
      <c r="Q22" s="193"/>
      <c r="R22" s="193"/>
      <c r="S22" s="177">
        <f t="shared" si="47"/>
        <v>0.52</v>
      </c>
      <c r="T22" s="216">
        <f t="shared" si="4"/>
        <v>0.96</v>
      </c>
      <c r="U22" s="226">
        <f aca="true" t="shared" si="58" ref="U22:Z22">+ROUND(U48,0)</f>
        <v>18690</v>
      </c>
      <c r="V22" s="178">
        <f t="shared" si="58"/>
        <v>18981</v>
      </c>
      <c r="W22" s="178">
        <f t="shared" si="58"/>
        <v>829</v>
      </c>
      <c r="X22" s="178">
        <f t="shared" si="58"/>
        <v>1013</v>
      </c>
      <c r="Y22" s="178">
        <f t="shared" si="58"/>
        <v>207</v>
      </c>
      <c r="Z22" s="178">
        <f t="shared" si="58"/>
        <v>261</v>
      </c>
      <c r="AA22" s="177">
        <f t="shared" si="49"/>
        <v>0.51</v>
      </c>
      <c r="AB22" s="216">
        <f t="shared" si="7"/>
        <v>0.96</v>
      </c>
      <c r="AC22" s="227">
        <f t="shared" si="28"/>
        <v>-0.006581059390048161</v>
      </c>
      <c r="AD22" s="179">
        <f t="shared" si="8"/>
        <v>-0.01591064748959481</v>
      </c>
      <c r="AE22" s="179">
        <f t="shared" si="9"/>
        <v>-1</v>
      </c>
      <c r="AF22" s="179">
        <f t="shared" si="10"/>
        <v>-1</v>
      </c>
      <c r="AG22" s="179">
        <f t="shared" si="11"/>
        <v>-1</v>
      </c>
      <c r="AH22" s="179">
        <f t="shared" si="12"/>
        <v>-1</v>
      </c>
      <c r="AI22" s="179">
        <f t="shared" si="13"/>
        <v>0.019607843137254832</v>
      </c>
      <c r="AJ22" s="228">
        <f t="shared" si="14"/>
        <v>0</v>
      </c>
      <c r="AK22" s="226">
        <f t="shared" si="29"/>
        <v>18690</v>
      </c>
      <c r="AL22" s="178">
        <f t="shared" si="30"/>
        <v>18981</v>
      </c>
      <c r="AM22" s="178">
        <f t="shared" si="57"/>
        <v>829</v>
      </c>
      <c r="AN22" s="178">
        <f t="shared" si="57"/>
        <v>1013</v>
      </c>
      <c r="AO22" s="178">
        <f t="shared" si="57"/>
        <v>207</v>
      </c>
      <c r="AP22" s="178">
        <f t="shared" si="57"/>
        <v>261</v>
      </c>
      <c r="AQ22" s="177">
        <f t="shared" si="51"/>
        <v>0.51</v>
      </c>
      <c r="AR22" s="216">
        <f t="shared" si="52"/>
        <v>0.96</v>
      </c>
      <c r="AS22" s="227">
        <f t="shared" si="35"/>
        <v>0.044355270197966826</v>
      </c>
      <c r="AT22" s="179">
        <f t="shared" si="36"/>
        <v>0.053369158632316525</v>
      </c>
      <c r="AU22" s="179">
        <f t="shared" si="37"/>
        <v>0.011075441412520063</v>
      </c>
      <c r="AV22" s="179">
        <f t="shared" si="38"/>
        <v>0.013750592697961118</v>
      </c>
      <c r="AW22" s="179">
        <f t="shared" si="53"/>
        <v>0.015569823434991914</v>
      </c>
      <c r="AX22" s="178">
        <f t="shared" si="17"/>
        <v>1509</v>
      </c>
      <c r="AY22" s="178">
        <f t="shared" si="18"/>
        <v>4105</v>
      </c>
      <c r="AZ22" s="231">
        <f t="shared" si="19"/>
        <v>0.2687923049519059</v>
      </c>
      <c r="BA22" s="177">
        <f t="shared" si="54"/>
        <v>0.22</v>
      </c>
      <c r="BB22" s="177">
        <f t="shared" si="54"/>
        <v>0.22</v>
      </c>
      <c r="BC22" s="180">
        <f t="shared" si="55"/>
        <v>5.1</v>
      </c>
      <c r="BD22" s="180">
        <f t="shared" si="55"/>
        <v>4.1</v>
      </c>
      <c r="BE22" s="180">
        <f t="shared" si="55"/>
        <v>20.3</v>
      </c>
      <c r="BF22" s="180">
        <f t="shared" si="55"/>
        <v>16.1</v>
      </c>
      <c r="BG22" s="180">
        <f t="shared" si="56"/>
        <v>22.6</v>
      </c>
      <c r="BH22" s="180">
        <f t="shared" si="56"/>
        <v>12</v>
      </c>
      <c r="BI22" s="181">
        <f t="shared" si="25"/>
        <v>4197</v>
      </c>
      <c r="BJ22" s="234">
        <f t="shared" si="26"/>
        <v>11.540432509992826</v>
      </c>
    </row>
    <row r="23" spans="1:62" ht="21" customHeight="1">
      <c r="A23" s="198"/>
      <c r="B23" s="185" t="s">
        <v>54</v>
      </c>
      <c r="C23" s="185" t="s">
        <v>0</v>
      </c>
      <c r="D23" s="200">
        <f>+'PG-Ermittlung Market Cap &amp; EV'!K23</f>
        <v>33.8</v>
      </c>
      <c r="E23" s="193">
        <f>ROUND(+'PG-Ermittlung Market Cap &amp; EV'!L23,0)</f>
        <v>108</v>
      </c>
      <c r="F23" s="193">
        <f>+'PG-Ermittlung Market Cap &amp; EV'!F23</f>
        <v>0</v>
      </c>
      <c r="G23" s="193">
        <f>+'PG-Ermittlung Market Cap &amp; EV'!G23</f>
        <v>18.335</v>
      </c>
      <c r="H23" s="193">
        <f>+'PG-Ermittlung Market Cap &amp; EV'!H23</f>
        <v>0</v>
      </c>
      <c r="I23" s="193">
        <v>1</v>
      </c>
      <c r="J23" s="193">
        <f>+'PG-Ermittlung Market Cap &amp; EV'!J23</f>
        <v>24.986</v>
      </c>
      <c r="K23" s="193">
        <f t="shared" si="0"/>
        <v>8</v>
      </c>
      <c r="L23" s="223">
        <f t="shared" si="1"/>
        <v>116</v>
      </c>
      <c r="M23" s="215">
        <f aca="true" t="shared" si="59" ref="M23:R23">ROUND(M49,0)</f>
        <v>146</v>
      </c>
      <c r="N23" s="193">
        <f t="shared" si="59"/>
        <v>161</v>
      </c>
      <c r="O23" s="193">
        <f t="shared" si="59"/>
        <v>29</v>
      </c>
      <c r="P23" s="193">
        <f t="shared" si="59"/>
        <v>33</v>
      </c>
      <c r="Q23" s="193">
        <f t="shared" si="59"/>
        <v>21</v>
      </c>
      <c r="R23" s="193">
        <f t="shared" si="59"/>
        <v>24</v>
      </c>
      <c r="S23" s="177">
        <f t="shared" si="47"/>
        <v>4.18</v>
      </c>
      <c r="T23" s="216">
        <f t="shared" si="4"/>
        <v>4.59</v>
      </c>
      <c r="U23" s="226">
        <f aca="true" t="shared" si="60" ref="U23:Z23">+ROUND(U49,0)</f>
        <v>154</v>
      </c>
      <c r="V23" s="178">
        <f t="shared" si="60"/>
        <v>171</v>
      </c>
      <c r="W23" s="178">
        <f t="shared" si="60"/>
        <v>31</v>
      </c>
      <c r="X23" s="178"/>
      <c r="Y23" s="178">
        <f t="shared" si="60"/>
        <v>22</v>
      </c>
      <c r="Z23" s="178">
        <f t="shared" si="60"/>
        <v>24</v>
      </c>
      <c r="AA23" s="177">
        <f t="shared" si="49"/>
        <v>4.02</v>
      </c>
      <c r="AB23" s="216">
        <f t="shared" si="7"/>
        <v>4.38</v>
      </c>
      <c r="AC23" s="227">
        <f t="shared" si="28"/>
        <v>-0.051948051948051965</v>
      </c>
      <c r="AD23" s="179">
        <f>+N23/V23-1</f>
        <v>-0.05847953216374269</v>
      </c>
      <c r="AE23" s="179">
        <f t="shared" si="9"/>
        <v>-0.06451612903225812</v>
      </c>
      <c r="AF23" s="179"/>
      <c r="AG23" s="179">
        <f t="shared" si="11"/>
        <v>-0.045454545454545414</v>
      </c>
      <c r="AH23" s="179">
        <f t="shared" si="12"/>
        <v>0</v>
      </c>
      <c r="AI23" s="179">
        <f t="shared" si="13"/>
        <v>0.03980099502487566</v>
      </c>
      <c r="AJ23" s="228">
        <f t="shared" si="14"/>
        <v>0.047945205479452024</v>
      </c>
      <c r="AK23" s="226">
        <f t="shared" si="29"/>
        <v>154</v>
      </c>
      <c r="AL23" s="178">
        <f t="shared" si="30"/>
        <v>171</v>
      </c>
      <c r="AM23" s="178">
        <f>+W23</f>
        <v>31</v>
      </c>
      <c r="AN23" s="182">
        <f>+P23</f>
        <v>33</v>
      </c>
      <c r="AO23" s="178">
        <f>+Y23</f>
        <v>22</v>
      </c>
      <c r="AP23" s="178">
        <f>+Z23</f>
        <v>24</v>
      </c>
      <c r="AQ23" s="177">
        <f t="shared" si="51"/>
        <v>4.02</v>
      </c>
      <c r="AR23" s="216">
        <f t="shared" si="52"/>
        <v>4.38</v>
      </c>
      <c r="AS23" s="227">
        <f t="shared" si="35"/>
        <v>0.2012987012987013</v>
      </c>
      <c r="AT23" s="179">
        <f t="shared" si="36"/>
        <v>0.19298245614035087</v>
      </c>
      <c r="AU23" s="179">
        <f t="shared" si="37"/>
        <v>0.14285714285714285</v>
      </c>
      <c r="AV23" s="179">
        <f t="shared" si="38"/>
        <v>0.14035087719298245</v>
      </c>
      <c r="AW23" s="179">
        <f t="shared" si="53"/>
        <v>0.11038961038961048</v>
      </c>
      <c r="AX23" s="178">
        <f t="shared" si="17"/>
        <v>108</v>
      </c>
      <c r="AY23" s="178">
        <f t="shared" si="18"/>
        <v>26</v>
      </c>
      <c r="AZ23" s="231">
        <f t="shared" si="19"/>
        <v>0.8059701492537313</v>
      </c>
      <c r="BA23" s="177">
        <f t="shared" si="54"/>
        <v>0.75</v>
      </c>
      <c r="BB23" s="177">
        <f t="shared" si="54"/>
        <v>0.68</v>
      </c>
      <c r="BC23" s="180">
        <f t="shared" si="55"/>
        <v>3.7</v>
      </c>
      <c r="BD23" s="180">
        <f t="shared" si="55"/>
        <v>3.5</v>
      </c>
      <c r="BE23" s="180">
        <f t="shared" si="55"/>
        <v>5.3</v>
      </c>
      <c r="BF23" s="180">
        <f t="shared" si="55"/>
        <v>4.8</v>
      </c>
      <c r="BG23" s="180">
        <f t="shared" si="56"/>
        <v>8.4</v>
      </c>
      <c r="BH23" s="180">
        <f t="shared" si="56"/>
        <v>7.7</v>
      </c>
      <c r="BI23" s="181">
        <f t="shared" si="25"/>
        <v>116</v>
      </c>
      <c r="BJ23" s="234">
        <f t="shared" si="26"/>
        <v>33.8</v>
      </c>
    </row>
    <row r="24" spans="1:62" ht="21" customHeight="1">
      <c r="A24" s="198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224"/>
      <c r="M24" s="217"/>
      <c r="N24" s="185"/>
      <c r="O24" s="185"/>
      <c r="P24" s="185"/>
      <c r="Q24" s="185"/>
      <c r="R24" s="185"/>
      <c r="S24" s="185"/>
      <c r="T24" s="201"/>
      <c r="U24" s="217"/>
      <c r="V24" s="185"/>
      <c r="W24" s="185"/>
      <c r="X24" s="185"/>
      <c r="Y24" s="185"/>
      <c r="Z24" s="185"/>
      <c r="AA24" s="185"/>
      <c r="AB24" s="201"/>
      <c r="AC24" s="217"/>
      <c r="AD24" s="185"/>
      <c r="AE24" s="185"/>
      <c r="AF24" s="185"/>
      <c r="AG24" s="185"/>
      <c r="AH24" s="185"/>
      <c r="AI24" s="185"/>
      <c r="AJ24" s="201"/>
      <c r="AK24" s="217"/>
      <c r="AL24" s="185"/>
      <c r="AM24" s="185"/>
      <c r="AN24" s="185"/>
      <c r="AO24" s="185"/>
      <c r="AP24" s="185"/>
      <c r="AQ24" s="185"/>
      <c r="AR24" s="201"/>
      <c r="AS24" s="217"/>
      <c r="AT24" s="185"/>
      <c r="AU24" s="185"/>
      <c r="AV24" s="185"/>
      <c r="AW24" s="185"/>
      <c r="AX24" s="185"/>
      <c r="AY24" s="185"/>
      <c r="AZ24" s="201"/>
      <c r="BA24" s="185"/>
      <c r="BB24" s="185"/>
      <c r="BC24" s="185"/>
      <c r="BD24" s="185"/>
      <c r="BE24" s="185"/>
      <c r="BF24" s="185"/>
      <c r="BG24" s="185"/>
      <c r="BH24" s="202"/>
      <c r="BI24" s="186"/>
      <c r="BJ24" s="203"/>
    </row>
    <row r="25" spans="1:62" ht="21" customHeight="1">
      <c r="A25" s="198"/>
      <c r="B25" s="185"/>
      <c r="C25" s="185" t="s">
        <v>79</v>
      </c>
      <c r="D25" s="185"/>
      <c r="E25" s="185"/>
      <c r="F25" s="185"/>
      <c r="G25" s="185"/>
      <c r="H25" s="185"/>
      <c r="I25" s="185"/>
      <c r="J25" s="185"/>
      <c r="K25" s="185"/>
      <c r="L25" s="224"/>
      <c r="M25" s="217"/>
      <c r="N25" s="185"/>
      <c r="O25" s="185"/>
      <c r="P25" s="185"/>
      <c r="Q25" s="185"/>
      <c r="R25" s="185"/>
      <c r="S25" s="185"/>
      <c r="T25" s="201"/>
      <c r="U25" s="217"/>
      <c r="V25" s="185"/>
      <c r="W25" s="185"/>
      <c r="X25" s="185"/>
      <c r="Y25" s="185"/>
      <c r="Z25" s="185"/>
      <c r="AA25" s="185"/>
      <c r="AB25" s="201"/>
      <c r="AC25" s="217"/>
      <c r="AD25" s="185"/>
      <c r="AE25" s="185"/>
      <c r="AF25" s="185"/>
      <c r="AG25" s="185"/>
      <c r="AH25" s="185"/>
      <c r="AI25" s="185"/>
      <c r="AJ25" s="201"/>
      <c r="AK25" s="217"/>
      <c r="AL25" s="185"/>
      <c r="AM25" s="185"/>
      <c r="AN25" s="185"/>
      <c r="AO25" s="185"/>
      <c r="AP25" s="185"/>
      <c r="AQ25" s="185"/>
      <c r="AR25" s="201"/>
      <c r="AS25" s="217"/>
      <c r="AT25" s="185"/>
      <c r="AU25" s="185"/>
      <c r="AV25" s="185"/>
      <c r="AW25" s="185"/>
      <c r="AX25" s="185"/>
      <c r="AY25" s="185"/>
      <c r="AZ25" s="201"/>
      <c r="BA25" s="185"/>
      <c r="BB25" s="185"/>
      <c r="BC25" s="185"/>
      <c r="BD25" s="185"/>
      <c r="BE25" s="185"/>
      <c r="BF25" s="185"/>
      <c r="BG25" s="185"/>
      <c r="BH25" s="202"/>
      <c r="BI25" s="186"/>
      <c r="BJ25" s="203"/>
    </row>
    <row r="26" spans="1:62" ht="21" customHeight="1">
      <c r="A26" s="198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224"/>
      <c r="M26" s="217"/>
      <c r="N26" s="185"/>
      <c r="O26" s="185"/>
      <c r="P26" s="185"/>
      <c r="Q26" s="185"/>
      <c r="R26" s="185"/>
      <c r="S26" s="185"/>
      <c r="T26" s="201"/>
      <c r="U26" s="217"/>
      <c r="V26" s="185"/>
      <c r="W26" s="185"/>
      <c r="X26" s="185"/>
      <c r="Y26" s="185"/>
      <c r="Z26" s="185"/>
      <c r="AA26" s="185"/>
      <c r="AB26" s="201"/>
      <c r="AC26" s="217"/>
      <c r="AD26" s="185"/>
      <c r="AE26" s="185"/>
      <c r="AF26" s="185"/>
      <c r="AG26" s="185"/>
      <c r="AH26" s="185"/>
      <c r="AI26" s="185"/>
      <c r="AJ26" s="201"/>
      <c r="AK26" s="217"/>
      <c r="AL26" s="185"/>
      <c r="AM26" s="185"/>
      <c r="AN26" s="185"/>
      <c r="AO26" s="185"/>
      <c r="AP26" s="185"/>
      <c r="AQ26" s="185"/>
      <c r="AR26" s="201"/>
      <c r="AS26" s="217"/>
      <c r="AT26" s="185"/>
      <c r="AU26" s="185"/>
      <c r="AV26" s="185"/>
      <c r="AW26" s="185"/>
      <c r="AX26" s="185"/>
      <c r="AY26" s="185"/>
      <c r="AZ26" s="201"/>
      <c r="BA26" s="185"/>
      <c r="BB26" s="185"/>
      <c r="BC26" s="185"/>
      <c r="BD26" s="185"/>
      <c r="BE26" s="185"/>
      <c r="BF26" s="185"/>
      <c r="BG26" s="185"/>
      <c r="BH26" s="202"/>
      <c r="BI26" s="186"/>
      <c r="BJ26" s="203"/>
    </row>
    <row r="27" spans="1:62" ht="21" customHeight="1">
      <c r="A27" s="198"/>
      <c r="B27" s="185"/>
      <c r="C27" s="185" t="s">
        <v>96</v>
      </c>
      <c r="D27" s="185"/>
      <c r="E27" s="185"/>
      <c r="F27" s="185"/>
      <c r="G27" s="185"/>
      <c r="H27" s="185"/>
      <c r="I27" s="185"/>
      <c r="J27" s="185"/>
      <c r="K27" s="185"/>
      <c r="L27" s="224"/>
      <c r="M27" s="217"/>
      <c r="N27" s="185"/>
      <c r="O27" s="185"/>
      <c r="P27" s="185"/>
      <c r="Q27" s="185"/>
      <c r="R27" s="185"/>
      <c r="S27" s="185"/>
      <c r="T27" s="201"/>
      <c r="U27" s="217"/>
      <c r="V27" s="185"/>
      <c r="W27" s="185"/>
      <c r="X27" s="185"/>
      <c r="Y27" s="185"/>
      <c r="Z27" s="185"/>
      <c r="AA27" s="185"/>
      <c r="AB27" s="201"/>
      <c r="AC27" s="229">
        <f aca="true" t="shared" si="61" ref="AC27:AJ27">MIN(AC5:AC23)</f>
        <v>-0.051948051948051965</v>
      </c>
      <c r="AD27" s="187">
        <f t="shared" si="61"/>
        <v>-0.05847953216374269</v>
      </c>
      <c r="AE27" s="187">
        <f t="shared" si="61"/>
        <v>-1</v>
      </c>
      <c r="AF27" s="187">
        <f t="shared" si="61"/>
        <v>-1</v>
      </c>
      <c r="AG27" s="187">
        <f t="shared" si="61"/>
        <v>-1</v>
      </c>
      <c r="AH27" s="187">
        <f t="shared" si="61"/>
        <v>-1</v>
      </c>
      <c r="AI27" s="187">
        <f t="shared" si="61"/>
        <v>-42.55555555555556</v>
      </c>
      <c r="AJ27" s="230">
        <f t="shared" si="61"/>
        <v>-0.08444444444444443</v>
      </c>
      <c r="AK27" s="217"/>
      <c r="AL27" s="185"/>
      <c r="AM27" s="185"/>
      <c r="AN27" s="185"/>
      <c r="AO27" s="185"/>
      <c r="AP27" s="185"/>
      <c r="AQ27" s="185"/>
      <c r="AR27" s="201"/>
      <c r="AS27" s="217"/>
      <c r="AT27" s="185"/>
      <c r="AU27" s="185"/>
      <c r="AV27" s="185"/>
      <c r="AW27" s="185"/>
      <c r="AX27" s="185"/>
      <c r="AY27" s="185"/>
      <c r="AZ27" s="201"/>
      <c r="BA27" s="185"/>
      <c r="BB27" s="185"/>
      <c r="BC27" s="185"/>
      <c r="BD27" s="185"/>
      <c r="BE27" s="185"/>
      <c r="BF27" s="185"/>
      <c r="BG27" s="185"/>
      <c r="BH27" s="202"/>
      <c r="BI27" s="186"/>
      <c r="BJ27" s="203"/>
    </row>
    <row r="28" spans="1:62" ht="21" customHeight="1">
      <c r="A28" s="198"/>
      <c r="B28" s="185"/>
      <c r="C28" s="185" t="s">
        <v>97</v>
      </c>
      <c r="D28" s="185"/>
      <c r="E28" s="185"/>
      <c r="F28" s="185"/>
      <c r="G28" s="185"/>
      <c r="H28" s="185"/>
      <c r="I28" s="185"/>
      <c r="J28" s="185"/>
      <c r="K28" s="185"/>
      <c r="L28" s="224"/>
      <c r="M28" s="217"/>
      <c r="N28" s="185"/>
      <c r="O28" s="185"/>
      <c r="P28" s="185"/>
      <c r="Q28" s="185"/>
      <c r="R28" s="185"/>
      <c r="S28" s="185"/>
      <c r="T28" s="201"/>
      <c r="U28" s="217"/>
      <c r="V28" s="185"/>
      <c r="W28" s="185"/>
      <c r="X28" s="185"/>
      <c r="Y28" s="185"/>
      <c r="Z28" s="185"/>
      <c r="AA28" s="185"/>
      <c r="AB28" s="201"/>
      <c r="AC28" s="229">
        <f aca="true" t="shared" si="62" ref="AC28:AJ28">MAX(AC5:AC23)</f>
        <v>0.048458776264799</v>
      </c>
      <c r="AD28" s="187">
        <f t="shared" si="62"/>
        <v>0.037234042553191404</v>
      </c>
      <c r="AE28" s="187">
        <f t="shared" si="62"/>
        <v>0.0725490196078431</v>
      </c>
      <c r="AF28" s="187">
        <f t="shared" si="62"/>
        <v>0.11700182815356497</v>
      </c>
      <c r="AG28" s="187">
        <f t="shared" si="62"/>
        <v>0.0185185185185186</v>
      </c>
      <c r="AH28" s="187">
        <f t="shared" si="62"/>
        <v>0.39005736137667313</v>
      </c>
      <c r="AI28" s="187">
        <f t="shared" si="62"/>
        <v>0.27802690582959655</v>
      </c>
      <c r="AJ28" s="230">
        <f t="shared" si="62"/>
        <v>1.8814432989690721</v>
      </c>
      <c r="AK28" s="217"/>
      <c r="AL28" s="185"/>
      <c r="AM28" s="185"/>
      <c r="AN28" s="185"/>
      <c r="AO28" s="185"/>
      <c r="AP28" s="185"/>
      <c r="AQ28" s="185"/>
      <c r="AR28" s="201"/>
      <c r="AS28" s="217"/>
      <c r="AT28" s="185"/>
      <c r="AU28" s="185"/>
      <c r="AV28" s="185"/>
      <c r="AW28" s="185"/>
      <c r="AX28" s="185"/>
      <c r="AY28" s="185"/>
      <c r="AZ28" s="201"/>
      <c r="BA28" s="185"/>
      <c r="BB28" s="185"/>
      <c r="BC28" s="185"/>
      <c r="BD28" s="185"/>
      <c r="BE28" s="185"/>
      <c r="BF28" s="185"/>
      <c r="BG28" s="185"/>
      <c r="BH28" s="202"/>
      <c r="BI28" s="186"/>
      <c r="BJ28" s="203"/>
    </row>
    <row r="29" spans="1:62" ht="21" customHeight="1">
      <c r="A29" s="198"/>
      <c r="B29" s="185"/>
      <c r="C29" s="185" t="s">
        <v>19</v>
      </c>
      <c r="D29" s="185"/>
      <c r="E29" s="185"/>
      <c r="F29" s="185"/>
      <c r="G29" s="185"/>
      <c r="H29" s="185"/>
      <c r="I29" s="185"/>
      <c r="J29" s="185"/>
      <c r="K29" s="185"/>
      <c r="L29" s="224"/>
      <c r="M29" s="217"/>
      <c r="N29" s="185"/>
      <c r="O29" s="185"/>
      <c r="P29" s="185"/>
      <c r="Q29" s="185"/>
      <c r="R29" s="185"/>
      <c r="S29" s="185"/>
      <c r="T29" s="201"/>
      <c r="U29" s="217"/>
      <c r="V29" s="185"/>
      <c r="W29" s="185"/>
      <c r="X29" s="185"/>
      <c r="Y29" s="185"/>
      <c r="Z29" s="185"/>
      <c r="AA29" s="185"/>
      <c r="AB29" s="201"/>
      <c r="AC29" s="229">
        <f>MEDIAN(AC5:AC23)</f>
        <v>-0.0014862710896557663</v>
      </c>
      <c r="AD29" s="187">
        <f aca="true" t="shared" si="63" ref="AD29:AJ29">MEDIAN(AD5:AD23)</f>
        <v>-0.008006080825690598</v>
      </c>
      <c r="AE29" s="187">
        <f t="shared" si="63"/>
        <v>-0.01326259946949604</v>
      </c>
      <c r="AF29" s="187">
        <f t="shared" si="63"/>
        <v>-0.014889521441347087</v>
      </c>
      <c r="AG29" s="187">
        <f t="shared" si="63"/>
        <v>-0.011936339522546469</v>
      </c>
      <c r="AH29" s="187">
        <f t="shared" si="63"/>
        <v>0</v>
      </c>
      <c r="AI29" s="187">
        <f t="shared" si="63"/>
        <v>0.00021242303879587254</v>
      </c>
      <c r="AJ29" s="230">
        <f t="shared" si="63"/>
        <v>0.0022831050228310223</v>
      </c>
      <c r="AK29" s="217"/>
      <c r="AL29" s="185"/>
      <c r="AM29" s="185"/>
      <c r="AN29" s="185"/>
      <c r="AO29" s="185"/>
      <c r="AP29" s="185"/>
      <c r="AQ29" s="185"/>
      <c r="AR29" s="201"/>
      <c r="AS29" s="217"/>
      <c r="AT29" s="185"/>
      <c r="AU29" s="185"/>
      <c r="AV29" s="185"/>
      <c r="AW29" s="185"/>
      <c r="AX29" s="185"/>
      <c r="AY29" s="185"/>
      <c r="AZ29" s="201"/>
      <c r="BA29" s="185"/>
      <c r="BB29" s="185"/>
      <c r="BC29" s="185"/>
      <c r="BD29" s="185"/>
      <c r="BE29" s="185"/>
      <c r="BF29" s="185"/>
      <c r="BG29" s="185"/>
      <c r="BH29" s="202"/>
      <c r="BI29" s="186"/>
      <c r="BJ29" s="203"/>
    </row>
    <row r="30" spans="1:62" ht="21" customHeight="1" thickBot="1">
      <c r="A30" s="207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25"/>
      <c r="M30" s="218"/>
      <c r="N30" s="208"/>
      <c r="O30" s="208"/>
      <c r="P30" s="208"/>
      <c r="Q30" s="208"/>
      <c r="R30" s="208"/>
      <c r="S30" s="208"/>
      <c r="T30" s="219"/>
      <c r="U30" s="218"/>
      <c r="V30" s="208"/>
      <c r="W30" s="208"/>
      <c r="X30" s="208"/>
      <c r="Y30" s="208"/>
      <c r="Z30" s="208"/>
      <c r="AA30" s="208"/>
      <c r="AB30" s="219"/>
      <c r="AC30" s="218"/>
      <c r="AD30" s="208"/>
      <c r="AE30" s="208"/>
      <c r="AF30" s="208"/>
      <c r="AG30" s="208"/>
      <c r="AH30" s="208"/>
      <c r="AI30" s="208"/>
      <c r="AJ30" s="219"/>
      <c r="AK30" s="218"/>
      <c r="AL30" s="208"/>
      <c r="AM30" s="208"/>
      <c r="AN30" s="208"/>
      <c r="AO30" s="208"/>
      <c r="AP30" s="208"/>
      <c r="AQ30" s="208"/>
      <c r="AR30" s="219"/>
      <c r="AS30" s="218"/>
      <c r="AT30" s="208"/>
      <c r="AU30" s="208"/>
      <c r="AV30" s="208"/>
      <c r="AW30" s="208"/>
      <c r="AX30" s="208"/>
      <c r="AY30" s="208"/>
      <c r="AZ30" s="219"/>
      <c r="BA30" s="208"/>
      <c r="BB30" s="208"/>
      <c r="BC30" s="208"/>
      <c r="BD30" s="208"/>
      <c r="BE30" s="208"/>
      <c r="BF30" s="208"/>
      <c r="BG30" s="208"/>
      <c r="BH30" s="211"/>
      <c r="BI30" s="212"/>
      <c r="BJ30" s="213"/>
    </row>
    <row r="31" spans="1:62" ht="21" customHeight="1" thickTop="1">
      <c r="A31" s="198"/>
      <c r="B31" s="185"/>
      <c r="C31" s="185" t="s">
        <v>18</v>
      </c>
      <c r="D31" s="185"/>
      <c r="E31" s="185"/>
      <c r="F31" s="187"/>
      <c r="G31" s="180"/>
      <c r="H31" s="185"/>
      <c r="I31" s="185"/>
      <c r="J31" s="180"/>
      <c r="K31" s="185"/>
      <c r="L31" s="224"/>
      <c r="M31" s="220">
        <f>+'PG-Ermittlung Kennzahlen GuV'!AJ5</f>
        <v>313.67499999999995</v>
      </c>
      <c r="N31" s="204">
        <f>+'PG-Ermittlung Kennzahlen GuV'!AK5</f>
        <v>353.875</v>
      </c>
      <c r="O31" s="204">
        <f>+'PG-Ermittlung Kennzahlen GuV'!AP5</f>
        <v>77.8</v>
      </c>
      <c r="P31" s="204">
        <f>+'PG-Ermittlung Kennzahlen GuV'!AQ5</f>
        <v>85.625</v>
      </c>
      <c r="Q31" s="204">
        <f>+'PG-Ermittlung Kennzahlen GuV'!AV5</f>
        <v>54.7</v>
      </c>
      <c r="R31" s="204">
        <f>+'PG-Ermittlung Kennzahlen GuV'!AW5</f>
        <v>60.15</v>
      </c>
      <c r="S31" s="205">
        <f>+'PG-Ermittlung Kennzahlen GuV'!BB5</f>
        <v>3.8674999999999997</v>
      </c>
      <c r="T31" s="221">
        <f>+'PG-Ermittlung Kennzahlen GuV'!BC5</f>
        <v>4.0675</v>
      </c>
      <c r="U31" s="220">
        <f>+'PG-Ermittlung Kennzahlen GuV'!AJ31</f>
        <v>313.67875</v>
      </c>
      <c r="V31" s="206">
        <f>+'PG-Ermittlung Kennzahlen GuV'!AK31</f>
        <v>343.30125</v>
      </c>
      <c r="W31" s="204">
        <f>+'PG-Ermittlung Kennzahlen GuV'!AP31</f>
        <v>77.2675</v>
      </c>
      <c r="X31" s="204">
        <f>+'PG-Ermittlung Kennzahlen GuV'!AQ31</f>
        <v>80.4975</v>
      </c>
      <c r="Y31" s="204">
        <f>+'PG-Ermittlung Kennzahlen GuV'!AV31</f>
        <v>54.0725</v>
      </c>
      <c r="Z31" s="204">
        <f>+'PG-Ermittlung Kennzahlen GuV'!AW31</f>
        <v>57.89333333333333</v>
      </c>
      <c r="AA31" s="205">
        <f>+'PG-Ermittlung Kennzahlen GuV'!BB31</f>
        <v>3.8125</v>
      </c>
      <c r="AB31" s="221">
        <f>+'PG-Ermittlung Kennzahlen GuV'!BC31</f>
        <v>3.8091666666666666</v>
      </c>
      <c r="AC31" s="217"/>
      <c r="AD31" s="185"/>
      <c r="AE31" s="185"/>
      <c r="AF31" s="185"/>
      <c r="AG31" s="185"/>
      <c r="AH31" s="185"/>
      <c r="AI31" s="185"/>
      <c r="AJ31" s="201"/>
      <c r="AK31" s="217"/>
      <c r="AL31" s="185"/>
      <c r="AM31" s="185"/>
      <c r="AN31" s="185"/>
      <c r="AO31" s="185"/>
      <c r="AP31" s="185"/>
      <c r="AQ31" s="185"/>
      <c r="AR31" s="201"/>
      <c r="AS31" s="217"/>
      <c r="AT31" s="185"/>
      <c r="AU31" s="185"/>
      <c r="AV31" s="185"/>
      <c r="AW31" s="185"/>
      <c r="AX31" s="185"/>
      <c r="AY31" s="185"/>
      <c r="AZ31" s="201"/>
      <c r="BA31" s="185"/>
      <c r="BB31" s="185"/>
      <c r="BC31" s="185"/>
      <c r="BD31" s="185"/>
      <c r="BE31" s="185"/>
      <c r="BF31" s="185"/>
      <c r="BG31" s="185"/>
      <c r="BH31" s="202"/>
      <c r="BI31" s="186"/>
      <c r="BJ31" s="203"/>
    </row>
    <row r="32" spans="1:62" ht="21" customHeight="1">
      <c r="A32" s="198"/>
      <c r="B32" s="185"/>
      <c r="C32" s="185" t="s">
        <v>17</v>
      </c>
      <c r="D32" s="185"/>
      <c r="E32" s="185"/>
      <c r="F32" s="187"/>
      <c r="G32" s="180"/>
      <c r="H32" s="185"/>
      <c r="I32" s="185"/>
      <c r="J32" s="180"/>
      <c r="K32" s="185"/>
      <c r="L32" s="224"/>
      <c r="M32" s="220">
        <f>(+'PG-Ermittlung Kennzahlen GuV'!AJ6)/(USD)</f>
        <v>2703.084964640771</v>
      </c>
      <c r="N32" s="204">
        <f>(+'PG-Ermittlung Kennzahlen GuV'!AK6)/(USD)</f>
        <v>3024.905196269345</v>
      </c>
      <c r="O32" s="204">
        <f>(+'PG-Ermittlung Kennzahlen GuV'!AP6)/(USD)</f>
        <v>371.93809572614526</v>
      </c>
      <c r="P32" s="204">
        <f>(+'PG-Ermittlung Kennzahlen GuV'!AQ6)/(USD)</f>
        <v>424.4132417751359</v>
      </c>
      <c r="Q32" s="204">
        <f>(+'PG-Ermittlung Kennzahlen GuV'!AV6)/(USD)</f>
        <v>258.6860715383827</v>
      </c>
      <c r="R32" s="204">
        <f>(+'PG-Ermittlung Kennzahlen GuV'!AW6)/(USD)</f>
        <v>298.86235523214106</v>
      </c>
      <c r="S32" s="205">
        <f>(+'PG-Ermittlung Kennzahlen GuV'!BB6)/(USD)</f>
        <v>5.7497181510710265</v>
      </c>
      <c r="T32" s="221">
        <f>(+'PG-Ermittlung Kennzahlen GuV'!BC6)/(USD)</f>
        <v>6.600389463974583</v>
      </c>
      <c r="U32" s="220">
        <f>(+'PG-Ermittlung Kennzahlen GuV'!AJ32)/(USD)</f>
        <v>2725.2229168801887</v>
      </c>
      <c r="V32" s="206">
        <f>(+'PG-Ermittlung Kennzahlen GuV'!AK32)/(USD)</f>
        <v>3041.2011888900283</v>
      </c>
      <c r="W32" s="204">
        <f>(+'PG-Ermittlung Kennzahlen GuV'!AP32)/(USD)</f>
        <v>377.062621707492</v>
      </c>
      <c r="X32" s="204">
        <f>(+'PG-Ermittlung Kennzahlen GuV'!AQ32)/(USD)</f>
        <v>419.9036589115507</v>
      </c>
      <c r="Y32" s="204" t="s">
        <v>50</v>
      </c>
      <c r="Z32" s="204" t="s">
        <v>50</v>
      </c>
      <c r="AA32" s="205">
        <f>(+'PG-Ermittlung Kennzahlen GuV'!BB32)/(USD)</f>
        <v>5.770216254996413</v>
      </c>
      <c r="AB32" s="221">
        <f>(+'PG-Ermittlung Kennzahlen GuV'!BC32)/(USD)</f>
        <v>6.569642308086502</v>
      </c>
      <c r="AC32" s="217"/>
      <c r="AD32" s="185"/>
      <c r="AE32" s="185"/>
      <c r="AF32" s="185"/>
      <c r="AG32" s="185"/>
      <c r="AH32" s="185"/>
      <c r="AI32" s="185"/>
      <c r="AJ32" s="201"/>
      <c r="AK32" s="217"/>
      <c r="AL32" s="185"/>
      <c r="AM32" s="185"/>
      <c r="AN32" s="185"/>
      <c r="AO32" s="185"/>
      <c r="AP32" s="185"/>
      <c r="AQ32" s="185"/>
      <c r="AR32" s="201"/>
      <c r="AS32" s="217"/>
      <c r="AT32" s="185"/>
      <c r="AU32" s="185"/>
      <c r="AV32" s="185"/>
      <c r="AW32" s="185"/>
      <c r="AX32" s="185"/>
      <c r="AY32" s="185"/>
      <c r="AZ32" s="201"/>
      <c r="BA32" s="185"/>
      <c r="BB32" s="185"/>
      <c r="BC32" s="185"/>
      <c r="BD32" s="185"/>
      <c r="BE32" s="185"/>
      <c r="BF32" s="185"/>
      <c r="BG32" s="185"/>
      <c r="BH32" s="202"/>
      <c r="BI32" s="186"/>
      <c r="BJ32" s="203"/>
    </row>
    <row r="33" spans="1:62" ht="21" customHeight="1">
      <c r="A33" s="198"/>
      <c r="B33" s="185"/>
      <c r="C33" s="185" t="s">
        <v>16</v>
      </c>
      <c r="D33" s="185"/>
      <c r="E33" s="185"/>
      <c r="F33" s="187"/>
      <c r="G33" s="180"/>
      <c r="H33" s="185"/>
      <c r="I33" s="185"/>
      <c r="J33" s="180"/>
      <c r="K33" s="185"/>
      <c r="L33" s="224"/>
      <c r="M33" s="220">
        <f>+'PG-Ermittlung Kennzahlen GuV'!AJ7</f>
        <v>11465.6</v>
      </c>
      <c r="N33" s="204">
        <f>+'PG-Ermittlung Kennzahlen GuV'!AK7</f>
        <v>11921.6</v>
      </c>
      <c r="O33" s="204">
        <f>+'PG-Ermittlung Kennzahlen GuV'!AP7</f>
        <v>1236.2</v>
      </c>
      <c r="P33" s="204">
        <f>+'PG-Ermittlung Kennzahlen GuV'!AQ7</f>
        <v>1375</v>
      </c>
      <c r="Q33" s="204">
        <f>+'PG-Ermittlung Kennzahlen GuV'!AV7</f>
        <v>597.7</v>
      </c>
      <c r="R33" s="204">
        <f>+'PG-Ermittlung Kennzahlen GuV'!AW7</f>
        <v>684.4</v>
      </c>
      <c r="S33" s="205">
        <f>+'PG-Ermittlung Kennzahlen GuV'!BB7</f>
        <v>1.9400000000000002</v>
      </c>
      <c r="T33" s="221">
        <f>+'PG-Ermittlung Kennzahlen GuV'!BC7</f>
        <v>2.4</v>
      </c>
      <c r="U33" s="220">
        <f>+'PG-Ermittlung Kennzahlen GuV'!AJ33</f>
        <v>11499.299999999997</v>
      </c>
      <c r="V33" s="206">
        <f>+'PG-Ermittlung Kennzahlen GuV'!AK33</f>
        <v>12000.700000000003</v>
      </c>
      <c r="W33" s="204">
        <f>+'PG-Ermittlung Kennzahlen GuV'!AP33</f>
        <v>1271.7</v>
      </c>
      <c r="X33" s="204">
        <f>+'PG-Ermittlung Kennzahlen GuV'!AQ33</f>
        <v>1379.2</v>
      </c>
      <c r="Y33" s="204">
        <f>+'PG-Ermittlung Kennzahlen GuV'!AV33</f>
        <v>607.9</v>
      </c>
      <c r="Z33" s="204">
        <f>+'PG-Ermittlung Kennzahlen GuV'!AW33</f>
        <v>682.6</v>
      </c>
      <c r="AA33" s="205">
        <f>+'PG-Ermittlung Kennzahlen GuV'!BB33</f>
        <v>2.02</v>
      </c>
      <c r="AB33" s="221">
        <f>+'PG-Ermittlung Kennzahlen GuV'!BC33</f>
        <v>2.42</v>
      </c>
      <c r="AC33" s="217"/>
      <c r="AD33" s="185"/>
      <c r="AE33" s="185"/>
      <c r="AF33" s="185"/>
      <c r="AG33" s="185"/>
      <c r="AH33" s="185"/>
      <c r="AI33" s="185"/>
      <c r="AJ33" s="201"/>
      <c r="AK33" s="217"/>
      <c r="AL33" s="185"/>
      <c r="AM33" s="185"/>
      <c r="AN33" s="185"/>
      <c r="AO33" s="185"/>
      <c r="AP33" s="185"/>
      <c r="AQ33" s="185"/>
      <c r="AR33" s="201"/>
      <c r="AS33" s="217"/>
      <c r="AT33" s="185"/>
      <c r="AU33" s="185"/>
      <c r="AV33" s="185"/>
      <c r="AW33" s="185"/>
      <c r="AX33" s="185"/>
      <c r="AY33" s="185"/>
      <c r="AZ33" s="201"/>
      <c r="BA33" s="185"/>
      <c r="BB33" s="185"/>
      <c r="BC33" s="185"/>
      <c r="BD33" s="185"/>
      <c r="BE33" s="185"/>
      <c r="BF33" s="185"/>
      <c r="BG33" s="185"/>
      <c r="BH33" s="202"/>
      <c r="BI33" s="186"/>
      <c r="BJ33" s="203"/>
    </row>
    <row r="34" spans="1:62" ht="21" customHeight="1">
      <c r="A34" s="198"/>
      <c r="B34" s="185"/>
      <c r="C34" s="185" t="s">
        <v>15</v>
      </c>
      <c r="D34" s="185"/>
      <c r="E34" s="185"/>
      <c r="F34" s="187"/>
      <c r="G34" s="180"/>
      <c r="H34" s="185"/>
      <c r="I34" s="185"/>
      <c r="J34" s="180"/>
      <c r="K34" s="185"/>
      <c r="L34" s="224"/>
      <c r="M34" s="220">
        <f>(+'PG-Ermittlung Kennzahlen GuV'!AJ8)/(USD)</f>
        <v>5893.204878548734</v>
      </c>
      <c r="N34" s="204">
        <f>(+'PG-Ermittlung Kennzahlen GuV'!AK8)/(USD)</f>
        <v>6175.053807522804</v>
      </c>
      <c r="O34" s="204" t="str">
        <f>(+'PG-Ermittlung Kennzahlen GuV'!AP8)</f>
        <v>n/a</v>
      </c>
      <c r="P34" s="204" t="str">
        <f>(+'PG-Ermittlung Kennzahlen GuV'!AQ8)</f>
        <v>n/a</v>
      </c>
      <c r="Q34" s="204" t="str">
        <f>(+'PG-Ermittlung Kennzahlen GuV'!AV8)</f>
        <v>n/a</v>
      </c>
      <c r="R34" s="204" t="str">
        <f>(+'PG-Ermittlung Kennzahlen GuV'!AW8)</f>
        <v>n/a</v>
      </c>
      <c r="S34" s="205">
        <f>(+'PG-Ermittlung Kennzahlen GuV'!BB8)/(USD)</f>
        <v>0.7174336373885414</v>
      </c>
      <c r="T34" s="221">
        <f>(+'PG-Ermittlung Kennzahlen GuV'!BC8)/(USD)</f>
        <v>2.5417648867479756</v>
      </c>
      <c r="U34" s="220">
        <f>(+'PG-Ermittlung Kennzahlen GuV'!AJ34)/(USD)</f>
        <v>5854.56595264938</v>
      </c>
      <c r="V34" s="206">
        <f>(+'PG-Ermittlung Kennzahlen GuV'!AK34)/(USD)</f>
        <v>6343.855693348365</v>
      </c>
      <c r="W34" s="204">
        <f>(+'PG-Ermittlung Kennzahlen GuV'!AP34)</f>
        <v>336</v>
      </c>
      <c r="X34" s="204">
        <f>(+'PG-Ermittlung Kennzahlen GuV'!AQ34)</f>
        <v>416</v>
      </c>
      <c r="Y34" s="204" t="str">
        <f>(+'PG-Ermittlung Kennzahlen GuV'!AV34)</f>
        <v>n/a</v>
      </c>
      <c r="Z34" s="204" t="str">
        <f>(+'PG-Ermittlung Kennzahlen GuV'!AW34)</f>
        <v>n/a</v>
      </c>
      <c r="AA34" s="205">
        <f>(+'PG-Ermittlung Kennzahlen GuV'!BB34)/(USD)</f>
        <v>0.6354412216869939</v>
      </c>
      <c r="AB34" s="221">
        <f>(+'PG-Ermittlung Kennzahlen GuV'!BC34)/(USD)</f>
        <v>2.429025315158348</v>
      </c>
      <c r="AC34" s="217"/>
      <c r="AD34" s="185"/>
      <c r="AE34" s="185"/>
      <c r="AF34" s="185"/>
      <c r="AG34" s="185"/>
      <c r="AH34" s="185"/>
      <c r="AI34" s="185"/>
      <c r="AJ34" s="201"/>
      <c r="AK34" s="217"/>
      <c r="AL34" s="185"/>
      <c r="AM34" s="185"/>
      <c r="AN34" s="185"/>
      <c r="AO34" s="185"/>
      <c r="AP34" s="185"/>
      <c r="AQ34" s="185"/>
      <c r="AR34" s="201"/>
      <c r="AS34" s="217"/>
      <c r="AT34" s="185"/>
      <c r="AU34" s="185"/>
      <c r="AV34" s="185"/>
      <c r="AW34" s="185"/>
      <c r="AX34" s="185"/>
      <c r="AY34" s="185"/>
      <c r="AZ34" s="201"/>
      <c r="BA34" s="185"/>
      <c r="BB34" s="185"/>
      <c r="BC34" s="185"/>
      <c r="BD34" s="185"/>
      <c r="BE34" s="185"/>
      <c r="BF34" s="185"/>
      <c r="BG34" s="185"/>
      <c r="BH34" s="202"/>
      <c r="BI34" s="186"/>
      <c r="BJ34" s="203"/>
    </row>
    <row r="35" spans="1:62" ht="21" customHeight="1">
      <c r="A35" s="198"/>
      <c r="B35" s="185"/>
      <c r="C35" s="185" t="s">
        <v>12</v>
      </c>
      <c r="D35" s="185"/>
      <c r="E35" s="185"/>
      <c r="F35" s="187"/>
      <c r="G35" s="180"/>
      <c r="H35" s="185"/>
      <c r="I35" s="185"/>
      <c r="J35" s="180"/>
      <c r="K35" s="185"/>
      <c r="L35" s="224"/>
      <c r="M35" s="220">
        <f>(+'PG-Ermittlung Kennzahlen GuV'!AJ9)/(USD)</f>
        <v>10595.46991903249</v>
      </c>
      <c r="N35" s="204">
        <f>(+'PG-Ermittlung Kennzahlen GuV'!AK9)/(USD)</f>
        <v>11002.35728195142</v>
      </c>
      <c r="O35" s="204">
        <f>(+'PG-Ermittlung Kennzahlen GuV'!AP9)/(USD)</f>
        <v>826.4835502715998</v>
      </c>
      <c r="P35" s="204">
        <f>(+'PG-Ermittlung Kennzahlen GuV'!AQ9)/(USD)</f>
        <v>950.7020600594445</v>
      </c>
      <c r="Q35" s="204">
        <f>(+'PG-Ermittlung Kennzahlen GuV'!AV9)/(USD)</f>
        <v>406.4774008404223</v>
      </c>
      <c r="R35" s="204">
        <f>(+'PG-Ermittlung Kennzahlen GuV'!AW9)/(USD)</f>
        <v>535.8204366096136</v>
      </c>
      <c r="S35" s="205">
        <f>(+'PG-Ermittlung Kennzahlen GuV'!BB9)/(USD)</f>
        <v>1.1786409757097467</v>
      </c>
      <c r="T35" s="221">
        <f>(+'PG-Ermittlung Kennzahlen GuV'!BC9)/(USD)</f>
        <v>1.75258788562058</v>
      </c>
      <c r="U35" s="220">
        <f>(+'PG-Ermittlung Kennzahlen GuV'!AJ35)/(USD)</f>
        <v>10639.84831403095</v>
      </c>
      <c r="V35" s="206">
        <f>(+'PG-Ermittlung Kennzahlen GuV'!AK35)/(USD)</f>
        <v>11389.566465101976</v>
      </c>
      <c r="W35" s="204">
        <f>(+'PG-Ermittlung Kennzahlen GuV'!AP35)/(USD)</f>
        <v>849.748898226914</v>
      </c>
      <c r="X35" s="204">
        <f>(+'PG-Ermittlung Kennzahlen GuV'!AQ35)/(USD)</f>
        <v>1070.6159680229578</v>
      </c>
      <c r="Y35" s="204" t="s">
        <v>50</v>
      </c>
      <c r="Z35" s="204" t="s">
        <v>50</v>
      </c>
      <c r="AA35" s="205">
        <f>(+'PG-Ermittlung Kennzahlen GuV'!BB35)/(USD)</f>
        <v>1.2093881315978272</v>
      </c>
      <c r="AB35" s="221">
        <f>(+'PG-Ermittlung Kennzahlen GuV'!BC35)/(USD)</f>
        <v>1.7320897816951935</v>
      </c>
      <c r="AC35" s="217"/>
      <c r="AD35" s="185"/>
      <c r="AE35" s="185"/>
      <c r="AF35" s="185"/>
      <c r="AG35" s="185"/>
      <c r="AH35" s="185"/>
      <c r="AI35" s="185"/>
      <c r="AJ35" s="201"/>
      <c r="AK35" s="217"/>
      <c r="AL35" s="185"/>
      <c r="AM35" s="185"/>
      <c r="AN35" s="185"/>
      <c r="AO35" s="185"/>
      <c r="AP35" s="185"/>
      <c r="AQ35" s="185"/>
      <c r="AR35" s="201"/>
      <c r="AS35" s="217"/>
      <c r="AT35" s="185"/>
      <c r="AU35" s="185"/>
      <c r="AV35" s="185"/>
      <c r="AW35" s="185"/>
      <c r="AX35" s="185"/>
      <c r="AY35" s="185"/>
      <c r="AZ35" s="201"/>
      <c r="BA35" s="185"/>
      <c r="BB35" s="185"/>
      <c r="BC35" s="185"/>
      <c r="BD35" s="185"/>
      <c r="BE35" s="185"/>
      <c r="BF35" s="185"/>
      <c r="BG35" s="185"/>
      <c r="BH35" s="202"/>
      <c r="BI35" s="186"/>
      <c r="BJ35" s="203"/>
    </row>
    <row r="36" spans="1:62" ht="21" customHeight="1">
      <c r="A36" s="198"/>
      <c r="B36" s="185"/>
      <c r="C36" s="185" t="s">
        <v>13</v>
      </c>
      <c r="D36" s="185"/>
      <c r="E36" s="185"/>
      <c r="F36" s="187"/>
      <c r="G36" s="180"/>
      <c r="H36" s="185"/>
      <c r="I36" s="185"/>
      <c r="J36" s="180"/>
      <c r="K36" s="185"/>
      <c r="L36" s="224"/>
      <c r="M36" s="220">
        <f>(+'PG-Ermittlung Kennzahlen GuV'!AJ10)/(USD)</f>
        <v>27360.25417648868</v>
      </c>
      <c r="N36" s="204">
        <f>(+'PG-Ermittlung Kennzahlen GuV'!AK10)/(USD)</f>
        <v>27165.82966075638</v>
      </c>
      <c r="O36" s="204">
        <f>(+'PG-Ermittlung Kennzahlen GuV'!AP10)/(USD)</f>
        <v>1941.8878753715283</v>
      </c>
      <c r="P36" s="204">
        <f>(+'PG-Ermittlung Kennzahlen GuV'!AQ10)/(USD)</f>
        <v>2435.174746335964</v>
      </c>
      <c r="Q36" s="204">
        <f>(+'PG-Ermittlung Kennzahlen GuV'!AV10)/(USD)</f>
        <v>932.7662191247309</v>
      </c>
      <c r="R36" s="204">
        <f>(+'PG-Ermittlung Kennzahlen GuV'!AW10)/(USD)</f>
        <v>1453.6230398688122</v>
      </c>
      <c r="S36" s="205">
        <f>(+'PG-Ermittlung Kennzahlen GuV'!BB10)/(USD)</f>
        <v>0.8711694168289433</v>
      </c>
      <c r="T36" s="221">
        <f>(+'PG-Ermittlung Kennzahlen GuV'!BC10)/(USD)</f>
        <v>1.1991390796351336</v>
      </c>
      <c r="U36" s="220">
        <f>(+'PG-Ermittlung Kennzahlen GuV'!AJ36)/(USD)</f>
        <v>27482.217894844733</v>
      </c>
      <c r="V36" s="206">
        <f>(+'PG-Ermittlung Kennzahlen GuV'!AK36)/(USD)</f>
        <v>28118.58153120836</v>
      </c>
      <c r="W36" s="204">
        <f>(+'PG-Ermittlung Kennzahlen GuV'!AP36)/(USD)</f>
        <v>1969.7652967100546</v>
      </c>
      <c r="X36" s="204">
        <f>(+'PG-Ermittlung Kennzahlen GuV'!AQ36)/(USD)</f>
        <v>2270.3699907758532</v>
      </c>
      <c r="Y36" s="204">
        <f>(+'PG-Ermittlung Kennzahlen GuV'!AV36)/(USD)</f>
        <v>940.8629701752587</v>
      </c>
      <c r="Z36" s="204">
        <f>(+'PG-Ermittlung Kennzahlen GuV'!AW36)/(USD)</f>
        <v>1046.4282053910013</v>
      </c>
      <c r="AA36" s="205">
        <f>(+'PG-Ermittlung Kennzahlen GuV'!BB36)/(USD)</f>
        <v>0.8916675207543302</v>
      </c>
      <c r="AB36" s="221">
        <f>(+'PG-Ermittlung Kennzahlen GuV'!BC36)/(USD)</f>
        <v>1.1888900276724401</v>
      </c>
      <c r="AC36" s="217"/>
      <c r="AD36" s="185"/>
      <c r="AE36" s="185"/>
      <c r="AF36" s="185"/>
      <c r="AG36" s="185"/>
      <c r="AH36" s="185"/>
      <c r="AI36" s="185"/>
      <c r="AJ36" s="201"/>
      <c r="AK36" s="217"/>
      <c r="AL36" s="185"/>
      <c r="AM36" s="185"/>
      <c r="AN36" s="185"/>
      <c r="AO36" s="185"/>
      <c r="AP36" s="185"/>
      <c r="AQ36" s="185"/>
      <c r="AR36" s="201"/>
      <c r="AS36" s="217"/>
      <c r="AT36" s="185"/>
      <c r="AU36" s="185"/>
      <c r="AV36" s="185"/>
      <c r="AW36" s="185"/>
      <c r="AX36" s="185"/>
      <c r="AY36" s="185"/>
      <c r="AZ36" s="201"/>
      <c r="BA36" s="185"/>
      <c r="BB36" s="185"/>
      <c r="BC36" s="185"/>
      <c r="BD36" s="185"/>
      <c r="BE36" s="185"/>
      <c r="BF36" s="185"/>
      <c r="BG36" s="185"/>
      <c r="BH36" s="202"/>
      <c r="BI36" s="186"/>
      <c r="BJ36" s="203"/>
    </row>
    <row r="37" spans="1:62" ht="21" customHeight="1">
      <c r="A37" s="198"/>
      <c r="B37" s="185"/>
      <c r="C37" s="185" t="s">
        <v>14</v>
      </c>
      <c r="D37" s="185"/>
      <c r="E37" s="185"/>
      <c r="F37" s="187"/>
      <c r="G37" s="180"/>
      <c r="H37" s="185"/>
      <c r="I37" s="185"/>
      <c r="J37" s="180"/>
      <c r="K37" s="185"/>
      <c r="L37" s="224"/>
      <c r="M37" s="220">
        <f>(+'PG-Ermittlung Kennzahlen GuV'!AJ11)*1000/(YEN)</f>
        <v>19467.4333525</v>
      </c>
      <c r="N37" s="204">
        <f>(+'PG-Ermittlung Kennzahlen GuV'!AK11)*1000/(YEN)</f>
        <v>19422.025625000002</v>
      </c>
      <c r="O37" s="204">
        <f>(+'PG-Ermittlung Kennzahlen GuV'!AP11)*1000/(YEN)</f>
        <v>2479.99361</v>
      </c>
      <c r="P37" s="204">
        <f>(+'PG-Ermittlung Kennzahlen GuV'!AQ11)*1000/(YEN)</f>
        <v>2490.9689375000003</v>
      </c>
      <c r="Q37" s="204">
        <f>(+'PG-Ermittlung Kennzahlen GuV'!AV11)*1000/(YEN)</f>
        <v>1160.3718800000001</v>
      </c>
      <c r="R37" s="204">
        <f>(+'PG-Ermittlung Kennzahlen GuV'!AW11)*1000/(YEN)</f>
        <v>1201.4755575000001</v>
      </c>
      <c r="S37" s="205">
        <f>(+'PG-Ermittlung Kennzahlen GuV'!BB11)/(YEN)</f>
        <v>1.2010236322499999</v>
      </c>
      <c r="T37" s="221">
        <f>(+'PG-Ermittlung Kennzahlen GuV'!BC11)/(YEN)</f>
        <v>0.9470846822500001</v>
      </c>
      <c r="U37" s="220">
        <f>(+'PG-Ermittlung Kennzahlen GuV'!AJ37)*1000/(YEN)</f>
        <v>19469.370175</v>
      </c>
      <c r="V37" s="206">
        <f>(+'PG-Ermittlung Kennzahlen GuV'!AK37)*1000/(YEN)</f>
        <v>19323.247677499996</v>
      </c>
      <c r="W37" s="204">
        <f>(+'PG-Ermittlung Kennzahlen GuV'!AP37)*1000/(YEN)</f>
        <v>2533.5790325000007</v>
      </c>
      <c r="X37" s="204">
        <f>(+'PG-Ermittlung Kennzahlen GuV'!AQ37)*1000/(YEN)</f>
        <v>2670.23262</v>
      </c>
      <c r="Y37" s="204" t="s">
        <v>50</v>
      </c>
      <c r="Z37" s="204" t="s">
        <v>50</v>
      </c>
      <c r="AA37" s="205">
        <f>(+'PG-Ermittlung Kennzahlen GuV'!BB37)/(YEN)</f>
        <v>1.2575142885</v>
      </c>
      <c r="AB37" s="221">
        <f>(+'PG-Ermittlung Kennzahlen GuV'!BC37)/(YEN)</f>
        <v>0.9588777792500002</v>
      </c>
      <c r="AC37" s="217"/>
      <c r="AD37" s="185"/>
      <c r="AE37" s="185"/>
      <c r="AF37" s="185"/>
      <c r="AG37" s="185"/>
      <c r="AH37" s="185"/>
      <c r="AI37" s="185"/>
      <c r="AJ37" s="201"/>
      <c r="AK37" s="217"/>
      <c r="AL37" s="185"/>
      <c r="AM37" s="185"/>
      <c r="AN37" s="185"/>
      <c r="AO37" s="185"/>
      <c r="AP37" s="185"/>
      <c r="AQ37" s="185"/>
      <c r="AR37" s="201"/>
      <c r="AS37" s="217"/>
      <c r="AT37" s="185"/>
      <c r="AU37" s="185"/>
      <c r="AV37" s="185"/>
      <c r="AW37" s="185"/>
      <c r="AX37" s="185"/>
      <c r="AY37" s="185"/>
      <c r="AZ37" s="201"/>
      <c r="BA37" s="185"/>
      <c r="BB37" s="185"/>
      <c r="BC37" s="185"/>
      <c r="BD37" s="185"/>
      <c r="BE37" s="185"/>
      <c r="BF37" s="185"/>
      <c r="BG37" s="185"/>
      <c r="BH37" s="202"/>
      <c r="BI37" s="186"/>
      <c r="BJ37" s="203"/>
    </row>
    <row r="38" spans="1:62" ht="21" customHeight="1">
      <c r="A38" s="198"/>
      <c r="B38" s="185"/>
      <c r="C38" s="185" t="s">
        <v>11</v>
      </c>
      <c r="D38" s="185"/>
      <c r="E38" s="185"/>
      <c r="F38" s="187"/>
      <c r="G38" s="180"/>
      <c r="H38" s="185"/>
      <c r="I38" s="185"/>
      <c r="J38" s="180"/>
      <c r="K38" s="185"/>
      <c r="L38" s="224"/>
      <c r="M38" s="220">
        <f>(+'PG-Ermittlung Kennzahlen GuV'!AJ12)/(USD)</f>
        <v>7302.449523419084</v>
      </c>
      <c r="N38" s="204">
        <f>(+'PG-Ermittlung Kennzahlen GuV'!AK12)/(USD)</f>
        <v>7805.6779747873325</v>
      </c>
      <c r="O38" s="204" t="str">
        <f>(+'PG-Ermittlung Kennzahlen GuV'!AP12)</f>
        <v>n/a</v>
      </c>
      <c r="P38" s="204" t="str">
        <f>(+'PG-Ermittlung Kennzahlen GuV'!AQ12)</f>
        <v>n/a</v>
      </c>
      <c r="Q38" s="204" t="str">
        <f>(+'PG-Ermittlung Kennzahlen GuV'!AV12)</f>
        <v>n/a</v>
      </c>
      <c r="R38" s="204" t="str">
        <f>(+'PG-Ermittlung Kennzahlen GuV'!AW12)</f>
        <v>n/a</v>
      </c>
      <c r="S38" s="205">
        <f>(+'PG-Ermittlung Kennzahlen GuV'!BB12)/(USD)</f>
        <v>4.355847084144717</v>
      </c>
      <c r="T38" s="221">
        <f>(+'PG-Ermittlung Kennzahlen GuV'!BC12)/(USD)</f>
        <v>5.759967203033719</v>
      </c>
      <c r="U38" s="220">
        <f>(+'PG-Ermittlung Kennzahlen GuV'!AJ38)/(USD)</f>
        <v>7262.273239725326</v>
      </c>
      <c r="V38" s="206">
        <f>(+'PG-Ermittlung Kennzahlen GuV'!AK38)/(USD)</f>
        <v>7596.084862150251</v>
      </c>
      <c r="W38" s="204">
        <f>(+'PG-Ermittlung Kennzahlen GuV'!AP38)</f>
        <v>871</v>
      </c>
      <c r="X38" s="204">
        <f>(+'PG-Ermittlung Kennzahlen GuV'!AQ38)</f>
        <v>999</v>
      </c>
      <c r="Y38" s="204">
        <f>(+'PG-Ermittlung Kennzahlen GuV'!AV38)</f>
        <v>228</v>
      </c>
      <c r="Z38" s="204">
        <f>(+'PG-Ermittlung Kennzahlen GuV'!AW38)</f>
        <v>259</v>
      </c>
      <c r="AA38" s="205">
        <f>(+'PG-Ermittlung Kennzahlen GuV'!BB38)/(USD)</f>
        <v>4.386594240032797</v>
      </c>
      <c r="AB38" s="221">
        <f>(+'PG-Ermittlung Kennzahlen GuV'!BC38)/(USD)</f>
        <v>5.811212462847186</v>
      </c>
      <c r="AC38" s="217"/>
      <c r="AD38" s="185"/>
      <c r="AE38" s="185"/>
      <c r="AF38" s="185"/>
      <c r="AG38" s="185"/>
      <c r="AH38" s="185"/>
      <c r="AI38" s="185"/>
      <c r="AJ38" s="201"/>
      <c r="AK38" s="217"/>
      <c r="AL38" s="185"/>
      <c r="AM38" s="185"/>
      <c r="AN38" s="185"/>
      <c r="AO38" s="185"/>
      <c r="AP38" s="185"/>
      <c r="AQ38" s="185"/>
      <c r="AR38" s="201"/>
      <c r="AS38" s="217"/>
      <c r="AT38" s="185"/>
      <c r="AU38" s="185"/>
      <c r="AV38" s="185"/>
      <c r="AW38" s="185"/>
      <c r="AX38" s="185"/>
      <c r="AY38" s="185"/>
      <c r="AZ38" s="201"/>
      <c r="BA38" s="185"/>
      <c r="BB38" s="185"/>
      <c r="BC38" s="185"/>
      <c r="BD38" s="185"/>
      <c r="BE38" s="185"/>
      <c r="BF38" s="185"/>
      <c r="BG38" s="185"/>
      <c r="BH38" s="202"/>
      <c r="BI38" s="186"/>
      <c r="BJ38" s="203"/>
    </row>
    <row r="39" spans="1:62" ht="21" customHeight="1">
      <c r="A39" s="198"/>
      <c r="B39" s="185"/>
      <c r="C39" s="185" t="s">
        <v>10</v>
      </c>
      <c r="D39" s="185"/>
      <c r="E39" s="185"/>
      <c r="F39" s="187"/>
      <c r="G39" s="180"/>
      <c r="H39" s="185"/>
      <c r="I39" s="185"/>
      <c r="J39" s="180"/>
      <c r="K39" s="185"/>
      <c r="L39" s="224"/>
      <c r="M39" s="220">
        <f>+'PG-Ermittlung Kennzahlen GuV'!AJ13</f>
        <v>860.5</v>
      </c>
      <c r="N39" s="204">
        <f>+'PG-Ermittlung Kennzahlen GuV'!AK13</f>
        <v>964.05</v>
      </c>
      <c r="O39" s="204">
        <f>+'PG-Ermittlung Kennzahlen GuV'!AP13</f>
        <v>100.65</v>
      </c>
      <c r="P39" s="204">
        <f>+'PG-Ermittlung Kennzahlen GuV'!AQ13</f>
        <v>108.25</v>
      </c>
      <c r="Q39" s="204">
        <f>+'PG-Ermittlung Kennzahlen GuV'!AV13</f>
        <v>62.60000000000001</v>
      </c>
      <c r="R39" s="204">
        <f>+'PG-Ermittlung Kennzahlen GuV'!AW13</f>
        <v>67.25</v>
      </c>
      <c r="S39" s="205">
        <f>+'PG-Ermittlung Kennzahlen GuV'!BB13</f>
        <v>2.58</v>
      </c>
      <c r="T39" s="221">
        <f>+'PG-Ermittlung Kennzahlen GuV'!BC13</f>
        <v>3.0400000000000005</v>
      </c>
      <c r="U39" s="220">
        <f>+'PG-Ermittlung Kennzahlen GuV'!AJ39</f>
        <v>863.5</v>
      </c>
      <c r="V39" s="206">
        <f>+'PG-Ermittlung Kennzahlen GuV'!AK39</f>
        <v>991</v>
      </c>
      <c r="W39" s="204">
        <f>+'PG-Ermittlung Kennzahlen GuV'!AP39</f>
        <v>100.5</v>
      </c>
      <c r="X39" s="204">
        <f>+'PG-Ermittlung Kennzahlen GuV'!AQ39</f>
        <v>116</v>
      </c>
      <c r="Y39" s="204">
        <f>+'PG-Ermittlung Kennzahlen GuV'!AV39</f>
        <v>62.69999999999999</v>
      </c>
      <c r="Z39" s="204">
        <f>+'PG-Ermittlung Kennzahlen GuV'!AW39</f>
        <v>69.15</v>
      </c>
      <c r="AA39" s="205">
        <f>+'PG-Ermittlung Kennzahlen GuV'!BB39</f>
        <v>2.57</v>
      </c>
      <c r="AB39" s="221">
        <f>+'PG-Ermittlung Kennzahlen GuV'!BC39</f>
        <v>3.195</v>
      </c>
      <c r="AC39" s="217"/>
      <c r="AD39" s="185"/>
      <c r="AE39" s="185"/>
      <c r="AF39" s="185"/>
      <c r="AG39" s="185"/>
      <c r="AH39" s="185"/>
      <c r="AI39" s="185"/>
      <c r="AJ39" s="201"/>
      <c r="AK39" s="217"/>
      <c r="AL39" s="185"/>
      <c r="AM39" s="185"/>
      <c r="AN39" s="185"/>
      <c r="AO39" s="185"/>
      <c r="AP39" s="185"/>
      <c r="AQ39" s="185"/>
      <c r="AR39" s="201"/>
      <c r="AS39" s="217"/>
      <c r="AT39" s="185"/>
      <c r="AU39" s="185"/>
      <c r="AV39" s="185"/>
      <c r="AW39" s="185"/>
      <c r="AX39" s="185"/>
      <c r="AY39" s="185"/>
      <c r="AZ39" s="201"/>
      <c r="BA39" s="185"/>
      <c r="BB39" s="185"/>
      <c r="BC39" s="185"/>
      <c r="BD39" s="185"/>
      <c r="BE39" s="185"/>
      <c r="BF39" s="185"/>
      <c r="BG39" s="185"/>
      <c r="BH39" s="202"/>
      <c r="BI39" s="186"/>
      <c r="BJ39" s="203"/>
    </row>
    <row r="40" spans="1:62" ht="21" customHeight="1">
      <c r="A40" s="198"/>
      <c r="B40" s="185"/>
      <c r="C40" s="185" t="s">
        <v>9</v>
      </c>
      <c r="D40" s="185"/>
      <c r="E40" s="185"/>
      <c r="F40" s="187"/>
      <c r="G40" s="180"/>
      <c r="H40" s="185"/>
      <c r="I40" s="185"/>
      <c r="J40" s="180"/>
      <c r="K40" s="185"/>
      <c r="L40" s="224"/>
      <c r="M40" s="220">
        <f>+'PG-Ermittlung Kennzahlen GuV'!AJ14</f>
        <v>9700</v>
      </c>
      <c r="N40" s="204">
        <f>+'PG-Ermittlung Kennzahlen GuV'!AK14</f>
        <v>10190.3</v>
      </c>
      <c r="O40" s="204">
        <f>+'PG-Ermittlung Kennzahlen GuV'!AP14</f>
        <v>563.2</v>
      </c>
      <c r="P40" s="204">
        <f>+'PG-Ermittlung Kennzahlen GuV'!AQ14</f>
        <v>635</v>
      </c>
      <c r="Q40" s="204">
        <f>+'PG-Ermittlung Kennzahlen GuV'!AV14</f>
        <v>228.69999999999996</v>
      </c>
      <c r="R40" s="204">
        <f>+'PG-Ermittlung Kennzahlen GuV'!AW14</f>
        <v>310</v>
      </c>
      <c r="S40" s="205">
        <f>+'PG-Ermittlung Kennzahlen GuV'!BB14</f>
        <v>3.74</v>
      </c>
      <c r="T40" s="221">
        <f>+'PG-Ermittlung Kennzahlen GuV'!BC14</f>
        <v>5.59</v>
      </c>
      <c r="U40" s="220">
        <f>+'PG-Ermittlung Kennzahlen GuV'!AJ40</f>
        <v>9671.8</v>
      </c>
      <c r="V40" s="206">
        <f>+'PG-Ermittlung Kennzahlen GuV'!AK40</f>
        <v>10286.8</v>
      </c>
      <c r="W40" s="204">
        <f>+'PG-Ermittlung Kennzahlen GuV'!AP40</f>
        <v>551.4</v>
      </c>
      <c r="X40" s="204">
        <f>+'PG-Ermittlung Kennzahlen GuV'!AQ40</f>
        <v>648.1</v>
      </c>
      <c r="Y40" s="204">
        <f>+'PG-Ermittlung Kennzahlen GuV'!AV40</f>
        <v>236.80000000000004</v>
      </c>
      <c r="Z40" s="204">
        <f>+'PG-Ermittlung Kennzahlen GuV'!AW40</f>
        <v>318.5</v>
      </c>
      <c r="AA40" s="205">
        <f>+'PG-Ermittlung Kennzahlen GuV'!BB40</f>
        <v>-0.09000000000000001</v>
      </c>
      <c r="AB40" s="221">
        <f>+'PG-Ermittlung Kennzahlen GuV'!BC40</f>
        <v>1.9400000000000002</v>
      </c>
      <c r="AC40" s="217"/>
      <c r="AD40" s="185"/>
      <c r="AE40" s="185"/>
      <c r="AF40" s="185"/>
      <c r="AG40" s="185"/>
      <c r="AH40" s="185"/>
      <c r="AI40" s="185"/>
      <c r="AJ40" s="201"/>
      <c r="AK40" s="217"/>
      <c r="AL40" s="185"/>
      <c r="AM40" s="185"/>
      <c r="AN40" s="185"/>
      <c r="AO40" s="185"/>
      <c r="AP40" s="185"/>
      <c r="AQ40" s="185"/>
      <c r="AR40" s="201"/>
      <c r="AS40" s="217"/>
      <c r="AT40" s="185"/>
      <c r="AU40" s="185"/>
      <c r="AV40" s="185"/>
      <c r="AW40" s="185"/>
      <c r="AX40" s="185"/>
      <c r="AY40" s="185"/>
      <c r="AZ40" s="201"/>
      <c r="BA40" s="185"/>
      <c r="BB40" s="185"/>
      <c r="BC40" s="185"/>
      <c r="BD40" s="185"/>
      <c r="BE40" s="185"/>
      <c r="BF40" s="185"/>
      <c r="BG40" s="185"/>
      <c r="BH40" s="202"/>
      <c r="BI40" s="186"/>
      <c r="BJ40" s="203"/>
    </row>
    <row r="41" spans="1:62" ht="21" customHeight="1">
      <c r="A41" s="198"/>
      <c r="B41" s="185"/>
      <c r="C41" s="185" t="s">
        <v>8</v>
      </c>
      <c r="D41" s="185"/>
      <c r="E41" s="185"/>
      <c r="F41" s="187"/>
      <c r="G41" s="180"/>
      <c r="H41" s="185"/>
      <c r="I41" s="185"/>
      <c r="J41" s="180"/>
      <c r="K41" s="185"/>
      <c r="L41" s="224"/>
      <c r="M41" s="220" t="str">
        <f>+'PG-Ermittlung Kennzahlen GuV'!AJ15</f>
        <v>n/a</v>
      </c>
      <c r="N41" s="204" t="str">
        <f>+'PG-Ermittlung Kennzahlen GuV'!AK15</f>
        <v>n/a</v>
      </c>
      <c r="O41" s="204" t="str">
        <f>+'PG-Ermittlung Kennzahlen GuV'!AP15</f>
        <v>n/a</v>
      </c>
      <c r="P41" s="204" t="str">
        <f>+'PG-Ermittlung Kennzahlen GuV'!AQ15</f>
        <v>n/a</v>
      </c>
      <c r="Q41" s="204" t="str">
        <f>+'PG-Ermittlung Kennzahlen GuV'!AV15</f>
        <v>n/a</v>
      </c>
      <c r="R41" s="204" t="str">
        <f>+'PG-Ermittlung Kennzahlen GuV'!AW15</f>
        <v>n/a</v>
      </c>
      <c r="S41" s="205" t="str">
        <f>+'PG-Ermittlung Kennzahlen GuV'!BB15</f>
        <v>n/a</v>
      </c>
      <c r="T41" s="221" t="str">
        <f>+'PG-Ermittlung Kennzahlen GuV'!BC15</f>
        <v>n/a</v>
      </c>
      <c r="U41" s="220" t="str">
        <f>+'PG-Ermittlung Kennzahlen GuV'!AJ41</f>
        <v>n/a</v>
      </c>
      <c r="V41" s="206" t="str">
        <f>+'PG-Ermittlung Kennzahlen GuV'!AK41</f>
        <v>n/a</v>
      </c>
      <c r="W41" s="204" t="str">
        <f>+'PG-Ermittlung Kennzahlen GuV'!AP41</f>
        <v>n/a</v>
      </c>
      <c r="X41" s="204" t="str">
        <f>+'PG-Ermittlung Kennzahlen GuV'!AQ41</f>
        <v>n/a</v>
      </c>
      <c r="Y41" s="204" t="str">
        <f>+'PG-Ermittlung Kennzahlen GuV'!AV41</f>
        <v>n/a</v>
      </c>
      <c r="Z41" s="204" t="str">
        <f>+'PG-Ermittlung Kennzahlen GuV'!AW41</f>
        <v>n/a</v>
      </c>
      <c r="AA41" s="205" t="str">
        <f>+'PG-Ermittlung Kennzahlen GuV'!BB41</f>
        <v>n/a</v>
      </c>
      <c r="AB41" s="221" t="str">
        <f>+'PG-Ermittlung Kennzahlen GuV'!BC41</f>
        <v>n/a</v>
      </c>
      <c r="AC41" s="217"/>
      <c r="AD41" s="185"/>
      <c r="AE41" s="185"/>
      <c r="AF41" s="185"/>
      <c r="AG41" s="185"/>
      <c r="AH41" s="185"/>
      <c r="AI41" s="185"/>
      <c r="AJ41" s="201"/>
      <c r="AK41" s="217"/>
      <c r="AL41" s="185"/>
      <c r="AM41" s="185"/>
      <c r="AN41" s="185"/>
      <c r="AO41" s="185"/>
      <c r="AP41" s="185"/>
      <c r="AQ41" s="185"/>
      <c r="AR41" s="201"/>
      <c r="AS41" s="217"/>
      <c r="AT41" s="185"/>
      <c r="AU41" s="185"/>
      <c r="AV41" s="185"/>
      <c r="AW41" s="185"/>
      <c r="AX41" s="185"/>
      <c r="AY41" s="185"/>
      <c r="AZ41" s="201"/>
      <c r="BA41" s="185"/>
      <c r="BB41" s="185"/>
      <c r="BC41" s="185"/>
      <c r="BD41" s="185"/>
      <c r="BE41" s="185"/>
      <c r="BF41" s="185"/>
      <c r="BG41" s="185"/>
      <c r="BH41" s="202"/>
      <c r="BI41" s="186"/>
      <c r="BJ41" s="203"/>
    </row>
    <row r="42" spans="1:62" ht="21" customHeight="1">
      <c r="A42" s="198"/>
      <c r="B42" s="185"/>
      <c r="C42" s="185" t="s">
        <v>7</v>
      </c>
      <c r="D42" s="185"/>
      <c r="E42" s="185"/>
      <c r="F42" s="187"/>
      <c r="G42" s="180"/>
      <c r="H42" s="185"/>
      <c r="I42" s="185"/>
      <c r="J42" s="180"/>
      <c r="K42" s="185"/>
      <c r="L42" s="224"/>
      <c r="M42" s="220">
        <f>+'PG-Ermittlung Kennzahlen GuV'!AJ16</f>
        <v>1837.5</v>
      </c>
      <c r="N42" s="204">
        <f>+'PG-Ermittlung Kennzahlen GuV'!AK16</f>
        <v>1950</v>
      </c>
      <c r="O42" s="204">
        <f>+'PG-Ermittlung Kennzahlen GuV'!AP16</f>
        <v>229.80000000000004</v>
      </c>
      <c r="P42" s="204">
        <f>+'PG-Ermittlung Kennzahlen GuV'!AQ16</f>
        <v>240</v>
      </c>
      <c r="Q42" s="204">
        <f>+'PG-Ermittlung Kennzahlen GuV'!AV16</f>
        <v>64.7</v>
      </c>
      <c r="R42" s="204">
        <f>+'PG-Ermittlung Kennzahlen GuV'!AW16</f>
        <v>77.8</v>
      </c>
      <c r="S42" s="205">
        <f>+'PG-Ermittlung Kennzahlen GuV'!BB16</f>
        <v>1.1</v>
      </c>
      <c r="T42" s="221">
        <f>+'PG-Ermittlung Kennzahlen GuV'!BC16</f>
        <v>1.32</v>
      </c>
      <c r="U42" s="220">
        <f>+'PG-Ermittlung Kennzahlen GuV'!AJ42</f>
        <v>1835</v>
      </c>
      <c r="V42" s="206">
        <f>+'PG-Ermittlung Kennzahlen GuV'!AK42</f>
        <v>1880</v>
      </c>
      <c r="W42" s="204">
        <f>+'PG-Ermittlung Kennzahlen GuV'!AP42</f>
        <v>225</v>
      </c>
      <c r="X42" s="204">
        <f>+'PG-Ermittlung Kennzahlen GuV'!AQ42</f>
        <v>238.6</v>
      </c>
      <c r="Y42" s="204">
        <f>+'PG-Ermittlung Kennzahlen GuV'!AV42</f>
        <v>82.25</v>
      </c>
      <c r="Z42" s="204">
        <f>+'PG-Ermittlung Kennzahlen GuV'!AW42</f>
        <v>89.71</v>
      </c>
      <c r="AA42" s="205">
        <f>+'PG-Ermittlung Kennzahlen GuV'!BB42</f>
        <v>0.94</v>
      </c>
      <c r="AB42" s="221">
        <f>+'PG-Ermittlung Kennzahlen GuV'!BC42</f>
        <v>1.32</v>
      </c>
      <c r="AC42" s="217"/>
      <c r="AD42" s="185"/>
      <c r="AE42" s="185"/>
      <c r="AF42" s="185"/>
      <c r="AG42" s="185"/>
      <c r="AH42" s="185"/>
      <c r="AI42" s="185"/>
      <c r="AJ42" s="201"/>
      <c r="AK42" s="217"/>
      <c r="AL42" s="185"/>
      <c r="AM42" s="185"/>
      <c r="AN42" s="185"/>
      <c r="AO42" s="185"/>
      <c r="AP42" s="185"/>
      <c r="AQ42" s="185"/>
      <c r="AR42" s="201"/>
      <c r="AS42" s="217"/>
      <c r="AT42" s="185"/>
      <c r="AU42" s="185"/>
      <c r="AV42" s="185"/>
      <c r="AW42" s="185"/>
      <c r="AX42" s="185"/>
      <c r="AY42" s="185"/>
      <c r="AZ42" s="201"/>
      <c r="BA42" s="185"/>
      <c r="BB42" s="185"/>
      <c r="BC42" s="185"/>
      <c r="BD42" s="185"/>
      <c r="BE42" s="185"/>
      <c r="BF42" s="185"/>
      <c r="BG42" s="185"/>
      <c r="BH42" s="202"/>
      <c r="BI42" s="186"/>
      <c r="BJ42" s="203"/>
    </row>
    <row r="43" spans="1:62" ht="21" customHeight="1">
      <c r="A43" s="198"/>
      <c r="B43" s="185"/>
      <c r="C43" s="185" t="s">
        <v>6</v>
      </c>
      <c r="D43" s="185"/>
      <c r="E43" s="185"/>
      <c r="F43" s="187"/>
      <c r="G43" s="180"/>
      <c r="H43" s="185"/>
      <c r="I43" s="185"/>
      <c r="J43" s="180"/>
      <c r="K43" s="185"/>
      <c r="L43" s="224"/>
      <c r="M43" s="220">
        <f>(+'PG-Ermittlung Kennzahlen GuV'!AJ17)/(USD)</f>
        <v>14415.496566567595</v>
      </c>
      <c r="N43" s="204">
        <f>(+'PG-Ermittlung Kennzahlen GuV'!AK17)/(USD)</f>
        <v>15033.309418878753</v>
      </c>
      <c r="O43" s="204">
        <f>(+'PG-Ermittlung Kennzahlen GuV'!AP17)/(USD)</f>
        <v>1094.3937685764067</v>
      </c>
      <c r="P43" s="204">
        <f>(+'PG-Ermittlung Kennzahlen GuV'!AQ17)/(USD)</f>
        <v>1222.301937070821</v>
      </c>
      <c r="Q43" s="204">
        <f>(+'PG-Ermittlung Kennzahlen GuV'!AV17)/(USD)</f>
        <v>745.2085682074409</v>
      </c>
      <c r="R43" s="204">
        <f>(+'PG-Ermittlung Kennzahlen GuV'!AW17)/(USD)</f>
        <v>821.7689863687607</v>
      </c>
      <c r="S43" s="205">
        <f>(+'PG-Ermittlung Kennzahlen GuV'!BB17)/(USD)</f>
        <v>4.509582863585119</v>
      </c>
      <c r="T43" s="221">
        <f>(+'PG-Ermittlung Kennzahlen GuV'!BC17)/(USD)</f>
        <v>5.288510812749821</v>
      </c>
      <c r="U43" s="220">
        <f>(+'PG-Ermittlung Kennzahlen GuV'!AJ43)/(USD)</f>
        <v>14613.815722045712</v>
      </c>
      <c r="V43" s="206">
        <f>(+'PG-Ermittlung Kennzahlen GuV'!AK43)/(USD)</f>
        <v>15412.421850978784</v>
      </c>
      <c r="W43" s="204">
        <f>(+'PG-Ermittlung Kennzahlen GuV'!AP43)/(USD)</f>
        <v>1020.088141846879</v>
      </c>
      <c r="X43" s="204">
        <f>(+'PG-Ermittlung Kennzahlen GuV'!AQ43)/(USD)</f>
        <v>1093.5738444193912</v>
      </c>
      <c r="Y43" s="204">
        <f>(+'PG-Ermittlung Kennzahlen GuV'!AV43)/(USD)</f>
        <v>754.4327149738649</v>
      </c>
      <c r="Z43" s="204">
        <f>(+'PG-Ermittlung Kennzahlen GuV'!AW43)/(USD)</f>
        <v>755.3551296505074</v>
      </c>
      <c r="AA43" s="205">
        <f>(+'PG-Ermittlung Kennzahlen GuV'!BB43)/(USD)</f>
        <v>4.571077175361279</v>
      </c>
      <c r="AB43" s="221">
        <f>(+'PG-Ermittlung Kennzahlen GuV'!BC43)/(USD)</f>
        <v>5.298759864712514</v>
      </c>
      <c r="AC43" s="217"/>
      <c r="AD43" s="185"/>
      <c r="AE43" s="185"/>
      <c r="AF43" s="185"/>
      <c r="AG43" s="185"/>
      <c r="AH43" s="185"/>
      <c r="AI43" s="185"/>
      <c r="AJ43" s="201"/>
      <c r="AK43" s="217"/>
      <c r="AL43" s="185"/>
      <c r="AM43" s="185"/>
      <c r="AN43" s="185"/>
      <c r="AO43" s="185"/>
      <c r="AP43" s="185"/>
      <c r="AQ43" s="185"/>
      <c r="AR43" s="201"/>
      <c r="AS43" s="217"/>
      <c r="AT43" s="185"/>
      <c r="AU43" s="185"/>
      <c r="AV43" s="185"/>
      <c r="AW43" s="185"/>
      <c r="AX43" s="185"/>
      <c r="AY43" s="185"/>
      <c r="AZ43" s="201"/>
      <c r="BA43" s="185"/>
      <c r="BB43" s="185"/>
      <c r="BC43" s="185"/>
      <c r="BD43" s="185"/>
      <c r="BE43" s="185"/>
      <c r="BF43" s="185"/>
      <c r="BG43" s="185"/>
      <c r="BH43" s="202"/>
      <c r="BI43" s="186"/>
      <c r="BJ43" s="203"/>
    </row>
    <row r="44" spans="1:62" ht="21" customHeight="1">
      <c r="A44" s="198"/>
      <c r="B44" s="185"/>
      <c r="C44" s="185" t="s">
        <v>5</v>
      </c>
      <c r="D44" s="185"/>
      <c r="E44" s="185"/>
      <c r="F44" s="187"/>
      <c r="G44" s="180"/>
      <c r="H44" s="185"/>
      <c r="I44" s="185"/>
      <c r="J44" s="180"/>
      <c r="K44" s="185"/>
      <c r="L44" s="224"/>
      <c r="M44" s="220">
        <f>(+'PG-Ermittlung Kennzahlen GuV'!AJ18)/(CAD)</f>
        <v>29490.406753645435</v>
      </c>
      <c r="N44" s="204">
        <f>(+'PG-Ermittlung Kennzahlen GuV'!AK18)/(CAD)</f>
        <v>33340.44512663085</v>
      </c>
      <c r="O44" s="204">
        <f>(+'PG-Ermittlung Kennzahlen GuV'!AP18)/(CAD)</f>
        <v>3172.831926323868</v>
      </c>
      <c r="P44" s="204">
        <f>(+'PG-Ermittlung Kennzahlen GuV'!AQ18)/(CAD)</f>
        <v>3679.508825786646</v>
      </c>
      <c r="Q44" s="204">
        <f>(+'PG-Ermittlung Kennzahlen GuV'!AV18)/(CAD)</f>
        <v>2203.3768227168075</v>
      </c>
      <c r="R44" s="204">
        <f>(+'PG-Ermittlung Kennzahlen GuV'!AW18)/(CAD)</f>
        <v>2529.547198772065</v>
      </c>
      <c r="S44" s="205">
        <f>(+'PG-Ermittlung Kennzahlen GuV'!BB18)/(CAD)</f>
        <v>14.643131235610129</v>
      </c>
      <c r="T44" s="221">
        <f>(+'PG-Ermittlung Kennzahlen GuV'!BC18)/(CAD)</f>
        <v>16.60782808902533</v>
      </c>
      <c r="U44" s="220">
        <f>(+'PG-Ermittlung Kennzahlen GuV'!AJ44)/(CAD)</f>
        <v>28127.227974407062</v>
      </c>
      <c r="V44" s="206">
        <f>(+'PG-Ermittlung Kennzahlen GuV'!AK44)/(CAD)</f>
        <v>32270.91391316697</v>
      </c>
      <c r="W44" s="204">
        <f>(+'PG-Ermittlung Kennzahlen GuV'!AP44)/(CAD)</f>
        <v>3177.3009567036156</v>
      </c>
      <c r="X44" s="204">
        <f>(+'PG-Ermittlung Kennzahlen GuV'!AQ44)/(CAD)</f>
        <v>3858.7977608788806</v>
      </c>
      <c r="Y44" s="204">
        <f>(+'PG-Ermittlung Kennzahlen GuV'!AV44)/(CAD)</f>
        <v>2213.6744474790785</v>
      </c>
      <c r="Z44" s="204">
        <f>(+'PG-Ermittlung Kennzahlen GuV'!AW44)/(CAD)</f>
        <v>2615.951735442566</v>
      </c>
      <c r="AA44" s="205">
        <f>(+'PG-Ermittlung Kennzahlen GuV'!BB44)/(CAD)</f>
        <v>13.978561074891251</v>
      </c>
      <c r="AB44" s="221">
        <f>(+'PG-Ermittlung Kennzahlen GuV'!BC44)/(CAD)</f>
        <v>15.441701039398453</v>
      </c>
      <c r="AC44" s="217"/>
      <c r="AD44" s="185"/>
      <c r="AE44" s="185"/>
      <c r="AF44" s="185"/>
      <c r="AG44" s="185"/>
      <c r="AH44" s="185"/>
      <c r="AI44" s="185"/>
      <c r="AJ44" s="201"/>
      <c r="AK44" s="217"/>
      <c r="AL44" s="185"/>
      <c r="AM44" s="185"/>
      <c r="AN44" s="185"/>
      <c r="AO44" s="185"/>
      <c r="AP44" s="185"/>
      <c r="AQ44" s="185"/>
      <c r="AR44" s="201"/>
      <c r="AS44" s="217"/>
      <c r="AT44" s="185"/>
      <c r="AU44" s="185"/>
      <c r="AV44" s="185"/>
      <c r="AW44" s="185"/>
      <c r="AX44" s="185"/>
      <c r="AY44" s="185"/>
      <c r="AZ44" s="201"/>
      <c r="BA44" s="185"/>
      <c r="BB44" s="185"/>
      <c r="BC44" s="185"/>
      <c r="BD44" s="185"/>
      <c r="BE44" s="185"/>
      <c r="BF44" s="185"/>
      <c r="BG44" s="185"/>
      <c r="BH44" s="202"/>
      <c r="BI44" s="186"/>
      <c r="BJ44" s="203"/>
    </row>
    <row r="45" spans="1:62" ht="21" customHeight="1">
      <c r="A45" s="198"/>
      <c r="B45" s="185"/>
      <c r="C45" s="185" t="s">
        <v>4</v>
      </c>
      <c r="D45" s="185"/>
      <c r="E45" s="185"/>
      <c r="F45" s="187"/>
      <c r="G45" s="180"/>
      <c r="H45" s="185"/>
      <c r="I45" s="185"/>
      <c r="J45" s="180"/>
      <c r="K45" s="185"/>
      <c r="L45" s="224"/>
      <c r="M45" s="220">
        <f>+'PG-Ermittlung Kennzahlen GuV'!AJ19</f>
        <v>15903</v>
      </c>
      <c r="N45" s="204">
        <f>+'PG-Ermittlung Kennzahlen GuV'!AK19</f>
        <v>16403.6</v>
      </c>
      <c r="O45" s="204">
        <f>+'PG-Ermittlung Kennzahlen GuV'!AP19</f>
        <v>2085.8</v>
      </c>
      <c r="P45" s="204">
        <f>+'PG-Ermittlung Kennzahlen GuV'!AQ19</f>
        <v>2319</v>
      </c>
      <c r="Q45" s="204">
        <f>+'PG-Ermittlung Kennzahlen GuV'!AV19</f>
        <v>1138.5</v>
      </c>
      <c r="R45" s="204">
        <f>+'PG-Ermittlung Kennzahlen GuV'!AW19</f>
        <v>1307.5</v>
      </c>
      <c r="S45" s="205">
        <f>+'PG-Ermittlung Kennzahlen GuV'!BB19</f>
        <v>3.3800000000000003</v>
      </c>
      <c r="T45" s="221">
        <f>+'PG-Ermittlung Kennzahlen GuV'!BC19</f>
        <v>4.12</v>
      </c>
      <c r="U45" s="220">
        <f>+'PG-Ermittlung Kennzahlen GuV'!AJ45</f>
        <v>15867.5</v>
      </c>
      <c r="V45" s="206">
        <f>+'PG-Ermittlung Kennzahlen GuV'!AK45</f>
        <v>16394.4</v>
      </c>
      <c r="W45" s="204">
        <f>+'PG-Ermittlung Kennzahlen GuV'!AP45</f>
        <v>2075.2</v>
      </c>
      <c r="X45" s="204">
        <f>+'PG-Ermittlung Kennzahlen GuV'!AQ45</f>
        <v>2271.7</v>
      </c>
      <c r="Y45" s="204">
        <f>+'PG-Ermittlung Kennzahlen GuV'!AV45</f>
        <v>1130.3</v>
      </c>
      <c r="Z45" s="204">
        <f>+'PG-Ermittlung Kennzahlen GuV'!AW45</f>
        <v>1304.3</v>
      </c>
      <c r="AA45" s="205">
        <f>+'PG-Ermittlung Kennzahlen GuV'!BB45</f>
        <v>3.48</v>
      </c>
      <c r="AB45" s="221">
        <f>+'PG-Ermittlung Kennzahlen GuV'!BC45</f>
        <v>4.5</v>
      </c>
      <c r="AC45" s="217"/>
      <c r="AD45" s="185"/>
      <c r="AE45" s="185"/>
      <c r="AF45" s="185"/>
      <c r="AG45" s="185"/>
      <c r="AH45" s="185"/>
      <c r="AI45" s="185"/>
      <c r="AJ45" s="201"/>
      <c r="AK45" s="217"/>
      <c r="AL45" s="185"/>
      <c r="AM45" s="185"/>
      <c r="AN45" s="185"/>
      <c r="AO45" s="185"/>
      <c r="AP45" s="185"/>
      <c r="AQ45" s="185"/>
      <c r="AR45" s="201"/>
      <c r="AS45" s="217"/>
      <c r="AT45" s="185"/>
      <c r="AU45" s="185"/>
      <c r="AV45" s="185"/>
      <c r="AW45" s="185"/>
      <c r="AX45" s="185"/>
      <c r="AY45" s="185"/>
      <c r="AZ45" s="201"/>
      <c r="BA45" s="185"/>
      <c r="BB45" s="185"/>
      <c r="BC45" s="185"/>
      <c r="BD45" s="185"/>
      <c r="BE45" s="185"/>
      <c r="BF45" s="185"/>
      <c r="BG45" s="185"/>
      <c r="BH45" s="202"/>
      <c r="BI45" s="186"/>
      <c r="BJ45" s="203"/>
    </row>
    <row r="46" spans="1:62" ht="21" customHeight="1">
      <c r="A46" s="198"/>
      <c r="B46" s="185"/>
      <c r="C46" s="185" t="s">
        <v>3</v>
      </c>
      <c r="D46" s="185"/>
      <c r="E46" s="185"/>
      <c r="F46" s="187"/>
      <c r="G46" s="180"/>
      <c r="H46" s="185"/>
      <c r="I46" s="185"/>
      <c r="J46" s="180"/>
      <c r="K46" s="185"/>
      <c r="L46" s="224"/>
      <c r="M46" s="220">
        <f>(+'PG-Ermittlung Kennzahlen GuV'!AJ20)/(USD)</f>
        <v>16595.879881111</v>
      </c>
      <c r="N46" s="204">
        <f>(+'PG-Ermittlung Kennzahlen GuV'!AK20)/(USD)</f>
        <v>17344.060674387616</v>
      </c>
      <c r="O46" s="204">
        <f>(+'PG-Ermittlung Kennzahlen GuV'!AP20)/(USD)</f>
        <v>1660.0389463974582</v>
      </c>
      <c r="P46" s="204">
        <f>(+'PG-Ermittlung Kennzahlen GuV'!AQ20)/(USD)</f>
        <v>1777.903043968433</v>
      </c>
      <c r="Q46" s="204">
        <f>(+'PG-Ermittlung Kennzahlen GuV'!AV20)/(USD)</f>
        <v>1002.0498103925388</v>
      </c>
      <c r="R46" s="204">
        <f>(+'PG-Ermittlung Kennzahlen GuV'!AW20)/(USD)</f>
        <v>1130.162959926207</v>
      </c>
      <c r="S46" s="205">
        <f>(+'PG-Ermittlung Kennzahlen GuV'!BB20)/(USD)</f>
        <v>3.628164394793482</v>
      </c>
      <c r="T46" s="221">
        <f>(+'PG-Ermittlung Kennzahlen GuV'!BC20)/(USD)</f>
        <v>4.027877421338526</v>
      </c>
      <c r="U46" s="220">
        <f>(+'PG-Ermittlung Kennzahlen GuV'!AJ46)/(USD)</f>
        <v>16662.908680947014</v>
      </c>
      <c r="V46" s="206">
        <f>(+'PG-Ermittlung Kennzahlen GuV'!AK46)/(USD)</f>
        <v>17603.77165112227</v>
      </c>
      <c r="W46" s="204" t="s">
        <v>50</v>
      </c>
      <c r="X46" s="204" t="s">
        <v>50</v>
      </c>
      <c r="Y46" s="204" t="s">
        <v>50</v>
      </c>
      <c r="Z46" s="204" t="s">
        <v>50</v>
      </c>
      <c r="AA46" s="205">
        <f>(+'PG-Ermittlung Kennzahlen GuV'!BB46)/(USD)</f>
        <v>3.5871681869427077</v>
      </c>
      <c r="AB46" s="221">
        <f>(+'PG-Ermittlung Kennzahlen GuV'!BC46)/(USD)</f>
        <v>4.161115096853541</v>
      </c>
      <c r="AC46" s="217"/>
      <c r="AD46" s="185"/>
      <c r="AE46" s="185"/>
      <c r="AF46" s="185"/>
      <c r="AG46" s="185"/>
      <c r="AH46" s="185"/>
      <c r="AI46" s="185"/>
      <c r="AJ46" s="201"/>
      <c r="AK46" s="217"/>
      <c r="AL46" s="185"/>
      <c r="AM46" s="185"/>
      <c r="AN46" s="185"/>
      <c r="AO46" s="185"/>
      <c r="AP46" s="185"/>
      <c r="AQ46" s="185"/>
      <c r="AR46" s="201"/>
      <c r="AS46" s="217"/>
      <c r="AT46" s="185"/>
      <c r="AU46" s="185"/>
      <c r="AV46" s="185"/>
      <c r="AW46" s="185"/>
      <c r="AX46" s="185"/>
      <c r="AY46" s="185"/>
      <c r="AZ46" s="201"/>
      <c r="BA46" s="185"/>
      <c r="BB46" s="185"/>
      <c r="BC46" s="185"/>
      <c r="BD46" s="185"/>
      <c r="BE46" s="185"/>
      <c r="BF46" s="185"/>
      <c r="BG46" s="185"/>
      <c r="BH46" s="202"/>
      <c r="BI46" s="186"/>
      <c r="BJ46" s="203"/>
    </row>
    <row r="47" spans="1:62" ht="21" customHeight="1">
      <c r="A47" s="198"/>
      <c r="B47" s="185"/>
      <c r="C47" s="185" t="s">
        <v>2</v>
      </c>
      <c r="D47" s="185"/>
      <c r="E47" s="185"/>
      <c r="F47" s="187"/>
      <c r="G47" s="180"/>
      <c r="H47" s="185"/>
      <c r="I47" s="185"/>
      <c r="J47" s="180"/>
      <c r="K47" s="185"/>
      <c r="L47" s="224"/>
      <c r="M47" s="220">
        <f>+'PG-Ermittlung Kennzahlen GuV'!AJ21</f>
        <v>9867.6</v>
      </c>
      <c r="N47" s="204">
        <f>+'PG-Ermittlung Kennzahlen GuV'!AK21</f>
        <v>10280</v>
      </c>
      <c r="O47" s="204">
        <f>+'PG-Ermittlung Kennzahlen GuV'!AP21</f>
        <v>1026.6</v>
      </c>
      <c r="P47" s="204">
        <f>+'PG-Ermittlung Kennzahlen GuV'!AQ21</f>
        <v>1121.3</v>
      </c>
      <c r="Q47" s="204">
        <f>+'PG-Ermittlung Kennzahlen GuV'!AV21</f>
        <v>473.5</v>
      </c>
      <c r="R47" s="204">
        <f>+'PG-Ermittlung Kennzahlen GuV'!AW21</f>
        <v>573.4</v>
      </c>
      <c r="S47" s="205">
        <f>+'PG-Ermittlung Kennzahlen GuV'!BB21</f>
        <v>2.85</v>
      </c>
      <c r="T47" s="221">
        <f>+'PG-Ermittlung Kennzahlen GuV'!BC21</f>
        <v>3.59</v>
      </c>
      <c r="U47" s="220">
        <f>+'PG-Ermittlung Kennzahlen GuV'!AJ47</f>
        <v>9859.1</v>
      </c>
      <c r="V47" s="206">
        <f>+'PG-Ermittlung Kennzahlen GuV'!AK47</f>
        <v>10332.8</v>
      </c>
      <c r="W47" s="204">
        <f>+'PG-Ermittlung Kennzahlen GuV'!AP47</f>
        <v>1027.5</v>
      </c>
      <c r="X47" s="204">
        <f>+'PG-Ermittlung Kennzahlen GuV'!AQ47</f>
        <v>1131.8</v>
      </c>
      <c r="Y47" s="204">
        <f>+'PG-Ermittlung Kennzahlen GuV'!AV47</f>
        <v>465.7</v>
      </c>
      <c r="Z47" s="204">
        <f>+'PG-Ermittlung Kennzahlen GuV'!AW47</f>
        <v>570.8</v>
      </c>
      <c r="AA47" s="205">
        <f>+'PG-Ermittlung Kennzahlen GuV'!BB47</f>
        <v>2.23</v>
      </c>
      <c r="AB47" s="221">
        <f>+'PG-Ermittlung Kennzahlen GuV'!BC47</f>
        <v>3.1</v>
      </c>
      <c r="AC47" s="217"/>
      <c r="AD47" s="185"/>
      <c r="AE47" s="185"/>
      <c r="AF47" s="185"/>
      <c r="AG47" s="185"/>
      <c r="AH47" s="185"/>
      <c r="AI47" s="185"/>
      <c r="AJ47" s="201"/>
      <c r="AK47" s="217"/>
      <c r="AL47" s="185"/>
      <c r="AM47" s="185"/>
      <c r="AN47" s="185"/>
      <c r="AO47" s="185"/>
      <c r="AP47" s="185"/>
      <c r="AQ47" s="185"/>
      <c r="AR47" s="201"/>
      <c r="AS47" s="217"/>
      <c r="AT47" s="185"/>
      <c r="AU47" s="185"/>
      <c r="AV47" s="185"/>
      <c r="AW47" s="185"/>
      <c r="AX47" s="185"/>
      <c r="AY47" s="185"/>
      <c r="AZ47" s="201"/>
      <c r="BA47" s="185"/>
      <c r="BB47" s="185"/>
      <c r="BC47" s="185"/>
      <c r="BD47" s="185"/>
      <c r="BE47" s="185"/>
      <c r="BF47" s="185"/>
      <c r="BG47" s="185"/>
      <c r="BH47" s="202"/>
      <c r="BI47" s="186"/>
      <c r="BJ47" s="203"/>
    </row>
    <row r="48" spans="1:62" ht="21" customHeight="1">
      <c r="A48" s="198"/>
      <c r="B48" s="185"/>
      <c r="C48" s="185" t="s">
        <v>1</v>
      </c>
      <c r="D48" s="185"/>
      <c r="E48" s="185"/>
      <c r="F48" s="187"/>
      <c r="G48" s="180"/>
      <c r="H48" s="185"/>
      <c r="I48" s="185"/>
      <c r="J48" s="180"/>
      <c r="K48" s="185"/>
      <c r="L48" s="224"/>
      <c r="M48" s="220">
        <f>(+'PG-Ermittlung Kennzahlen GuV'!AJ22)/(USD)</f>
        <v>18566.67008301732</v>
      </c>
      <c r="N48" s="204">
        <f>(+'PG-Ermittlung Kennzahlen GuV'!AK22)/(USD)</f>
        <v>18678.897202008815</v>
      </c>
      <c r="O48" s="204" t="str">
        <f>(+'PG-Ermittlung Kennzahlen GuV'!AP22)</f>
        <v>n/a</v>
      </c>
      <c r="P48" s="204" t="str">
        <f>(+'PG-Ermittlung Kennzahlen GuV'!AQ22)</f>
        <v>n/a</v>
      </c>
      <c r="Q48" s="204" t="str">
        <f>(+'PG-Ermittlung Kennzahlen GuV'!AV22)</f>
        <v>n/a</v>
      </c>
      <c r="R48" s="204" t="str">
        <f>(+'PG-Ermittlung Kennzahlen GuV'!AW22)</f>
        <v>n/a</v>
      </c>
      <c r="S48" s="205">
        <f>(+'PG-Ermittlung Kennzahlen GuV'!BB22)/(USD)</f>
        <v>0.522701650097366</v>
      </c>
      <c r="T48" s="221">
        <f>(+'PG-Ermittlung Kennzahlen GuV'!BC22)/(USD)</f>
        <v>0.9634108844931843</v>
      </c>
      <c r="U48" s="220">
        <f>(+'PG-Ermittlung Kennzahlen GuV'!AJ48)/(USD)</f>
        <v>18690.171159167778</v>
      </c>
      <c r="V48" s="206">
        <f>(+'PG-Ermittlung Kennzahlen GuV'!AK48)/(USD)</f>
        <v>18981.24423490827</v>
      </c>
      <c r="W48" s="204">
        <f>(+'PG-Ermittlung Kennzahlen GuV'!AP48)</f>
        <v>829</v>
      </c>
      <c r="X48" s="204">
        <f>(+'PG-Ermittlung Kennzahlen GuV'!AQ48)</f>
        <v>1013</v>
      </c>
      <c r="Y48" s="204">
        <f>(+'PG-Ermittlung Kennzahlen GuV'!AV48)</f>
        <v>207</v>
      </c>
      <c r="Z48" s="204">
        <f>(+'PG-Ermittlung Kennzahlen GuV'!AW48)</f>
        <v>261</v>
      </c>
      <c r="AA48" s="205">
        <f>(+'PG-Ermittlung Kennzahlen GuV'!BB48)/(USD)</f>
        <v>0.5124525981346726</v>
      </c>
      <c r="AB48" s="221">
        <f>(+'PG-Ermittlung Kennzahlen GuV'!BC48)/(USD)</f>
        <v>0.9634108844931843</v>
      </c>
      <c r="AC48" s="217"/>
      <c r="AD48" s="185"/>
      <c r="AE48" s="185"/>
      <c r="AF48" s="185"/>
      <c r="AG48" s="185"/>
      <c r="AH48" s="185"/>
      <c r="AI48" s="185"/>
      <c r="AJ48" s="201"/>
      <c r="AK48" s="217"/>
      <c r="AL48" s="185"/>
      <c r="AM48" s="185"/>
      <c r="AN48" s="185"/>
      <c r="AO48" s="185"/>
      <c r="AP48" s="185"/>
      <c r="AQ48" s="185"/>
      <c r="AR48" s="201"/>
      <c r="AS48" s="217"/>
      <c r="AT48" s="185"/>
      <c r="AU48" s="185"/>
      <c r="AV48" s="185"/>
      <c r="AW48" s="185"/>
      <c r="AX48" s="185"/>
      <c r="AY48" s="185"/>
      <c r="AZ48" s="201"/>
      <c r="BA48" s="185"/>
      <c r="BB48" s="185"/>
      <c r="BC48" s="185"/>
      <c r="BD48" s="185"/>
      <c r="BE48" s="185"/>
      <c r="BF48" s="185"/>
      <c r="BG48" s="185"/>
      <c r="BH48" s="202"/>
      <c r="BI48" s="186"/>
      <c r="BJ48" s="203"/>
    </row>
    <row r="49" spans="1:62" ht="21" customHeight="1">
      <c r="A49" s="198"/>
      <c r="B49" s="185"/>
      <c r="C49" s="185" t="s">
        <v>0</v>
      </c>
      <c r="D49" s="185"/>
      <c r="E49" s="185"/>
      <c r="F49" s="187"/>
      <c r="G49" s="180"/>
      <c r="H49" s="185"/>
      <c r="I49" s="185"/>
      <c r="J49" s="180"/>
      <c r="K49" s="185"/>
      <c r="L49" s="224"/>
      <c r="M49" s="220">
        <f>+'PG-Ermittlung Kennzahlen GuV'!AJ23</f>
        <v>146.05</v>
      </c>
      <c r="N49" s="204">
        <f>+'PG-Ermittlung Kennzahlen GuV'!AK23</f>
        <v>161.45</v>
      </c>
      <c r="O49" s="204">
        <f>+'PG-Ermittlung Kennzahlen GuV'!AP23</f>
        <v>29.150000000000002</v>
      </c>
      <c r="P49" s="204">
        <f>+'PG-Ermittlung Kennzahlen GuV'!AQ23</f>
        <v>32.75</v>
      </c>
      <c r="Q49" s="204">
        <f>+'PG-Ermittlung Kennzahlen GuV'!AV23</f>
        <v>21</v>
      </c>
      <c r="R49" s="204">
        <f>+'PG-Ermittlung Kennzahlen GuV'!AW23</f>
        <v>23.599999999999998</v>
      </c>
      <c r="S49" s="205">
        <f>+'PG-Ermittlung Kennzahlen GuV'!BB23</f>
        <v>4.18</v>
      </c>
      <c r="T49" s="221">
        <f>+'PG-Ermittlung Kennzahlen GuV'!BC23</f>
        <v>4.585</v>
      </c>
      <c r="U49" s="220">
        <f>+'PG-Ermittlung Kennzahlen GuV'!AJ49</f>
        <v>154.10000000000002</v>
      </c>
      <c r="V49" s="206">
        <f>+'PG-Ermittlung Kennzahlen GuV'!AK49</f>
        <v>170.75</v>
      </c>
      <c r="W49" s="204">
        <f>+'PG-Ermittlung Kennzahlen GuV'!AP49</f>
        <v>30.699999999999996</v>
      </c>
      <c r="X49" s="204" t="str">
        <f>+'PG-Ermittlung Kennzahlen GuV'!AQ49</f>
        <v>n/a</v>
      </c>
      <c r="Y49" s="204">
        <f>+'PG-Ermittlung Kennzahlen GuV'!AV49</f>
        <v>22</v>
      </c>
      <c r="Z49" s="204">
        <f>+'PG-Ermittlung Kennzahlen GuV'!AW49</f>
        <v>23.9</v>
      </c>
      <c r="AA49" s="205">
        <f>+'PG-Ermittlung Kennzahlen GuV'!BB49</f>
        <v>4.015000000000001</v>
      </c>
      <c r="AB49" s="221">
        <f>+'PG-Ermittlung Kennzahlen GuV'!BC49</f>
        <v>4.375</v>
      </c>
      <c r="AC49" s="217"/>
      <c r="AD49" s="185"/>
      <c r="AE49" s="185"/>
      <c r="AF49" s="185"/>
      <c r="AG49" s="185"/>
      <c r="AH49" s="185"/>
      <c r="AI49" s="185"/>
      <c r="AJ49" s="201"/>
      <c r="AK49" s="217"/>
      <c r="AL49" s="185"/>
      <c r="AM49" s="185"/>
      <c r="AN49" s="185"/>
      <c r="AO49" s="185"/>
      <c r="AP49" s="185"/>
      <c r="AQ49" s="185"/>
      <c r="AR49" s="201"/>
      <c r="AS49" s="217"/>
      <c r="AT49" s="185"/>
      <c r="AU49" s="185"/>
      <c r="AV49" s="185"/>
      <c r="AW49" s="185"/>
      <c r="AX49" s="185"/>
      <c r="AY49" s="185"/>
      <c r="AZ49" s="201"/>
      <c r="BA49" s="185"/>
      <c r="BB49" s="185"/>
      <c r="BC49" s="185"/>
      <c r="BD49" s="185"/>
      <c r="BE49" s="185"/>
      <c r="BF49" s="185"/>
      <c r="BG49" s="185"/>
      <c r="BH49" s="202"/>
      <c r="BI49" s="186"/>
      <c r="BJ49" s="203"/>
    </row>
    <row r="50" spans="1:62" ht="21" customHeight="1" thickBot="1">
      <c r="A50" s="207"/>
      <c r="B50" s="208"/>
      <c r="C50" s="208"/>
      <c r="D50" s="208"/>
      <c r="E50" s="208"/>
      <c r="F50" s="209"/>
      <c r="G50" s="210"/>
      <c r="H50" s="208"/>
      <c r="I50" s="208"/>
      <c r="J50" s="208"/>
      <c r="K50" s="208"/>
      <c r="L50" s="225"/>
      <c r="M50" s="218"/>
      <c r="N50" s="208"/>
      <c r="O50" s="208"/>
      <c r="P50" s="208"/>
      <c r="Q50" s="208"/>
      <c r="R50" s="208"/>
      <c r="S50" s="208"/>
      <c r="T50" s="219"/>
      <c r="U50" s="218"/>
      <c r="V50" s="208"/>
      <c r="W50" s="208"/>
      <c r="X50" s="208"/>
      <c r="Y50" s="208"/>
      <c r="Z50" s="208"/>
      <c r="AA50" s="208"/>
      <c r="AB50" s="219"/>
      <c r="AC50" s="218"/>
      <c r="AD50" s="208"/>
      <c r="AE50" s="208"/>
      <c r="AF50" s="208"/>
      <c r="AG50" s="208"/>
      <c r="AH50" s="208"/>
      <c r="AI50" s="208"/>
      <c r="AJ50" s="219"/>
      <c r="AK50" s="218"/>
      <c r="AL50" s="208"/>
      <c r="AM50" s="208"/>
      <c r="AN50" s="208"/>
      <c r="AO50" s="208"/>
      <c r="AP50" s="208"/>
      <c r="AQ50" s="208"/>
      <c r="AR50" s="219"/>
      <c r="AS50" s="218"/>
      <c r="AT50" s="208"/>
      <c r="AU50" s="208"/>
      <c r="AV50" s="208"/>
      <c r="AW50" s="208"/>
      <c r="AX50" s="208"/>
      <c r="AY50" s="208"/>
      <c r="AZ50" s="219"/>
      <c r="BA50" s="208"/>
      <c r="BB50" s="208"/>
      <c r="BC50" s="208"/>
      <c r="BD50" s="208"/>
      <c r="BE50" s="208"/>
      <c r="BF50" s="208"/>
      <c r="BG50" s="208"/>
      <c r="BH50" s="211"/>
      <c r="BI50" s="212"/>
      <c r="BJ50" s="213"/>
    </row>
    <row r="51" spans="6:64" ht="21" customHeight="1" thickTop="1">
      <c r="F51" s="188"/>
      <c r="G51" s="189"/>
      <c r="J51" s="189"/>
      <c r="BL51" s="191"/>
    </row>
    <row r="52" spans="6:11" ht="21" customHeight="1">
      <c r="F52" s="188"/>
      <c r="G52" s="189"/>
      <c r="K52" s="192"/>
    </row>
    <row r="53" spans="6:7" ht="21" customHeight="1">
      <c r="F53" s="188"/>
      <c r="G53" s="189"/>
    </row>
    <row r="54" spans="6:7" ht="21" customHeight="1">
      <c r="F54" s="188"/>
      <c r="G54" s="188"/>
    </row>
    <row r="55" spans="3:7" ht="21" customHeight="1">
      <c r="C55" s="188"/>
      <c r="F55" s="188"/>
      <c r="G55" s="189"/>
    </row>
    <row r="56" ht="21" customHeight="1">
      <c r="C56" s="189"/>
    </row>
    <row r="58" ht="21" customHeight="1">
      <c r="C58" s="189"/>
    </row>
  </sheetData>
  <sheetProtection/>
  <mergeCells count="36">
    <mergeCell ref="U1:AB1"/>
    <mergeCell ref="U2:V2"/>
    <mergeCell ref="W2:X2"/>
    <mergeCell ref="Y2:Z2"/>
    <mergeCell ref="AA2:AB2"/>
    <mergeCell ref="M1:T1"/>
    <mergeCell ref="M2:N2"/>
    <mergeCell ref="O2:P2"/>
    <mergeCell ref="Q2:R2"/>
    <mergeCell ref="S2:T2"/>
    <mergeCell ref="AC1:AJ1"/>
    <mergeCell ref="AC2:AD2"/>
    <mergeCell ref="AE2:AF2"/>
    <mergeCell ref="AG2:AH2"/>
    <mergeCell ref="AI2:AJ2"/>
    <mergeCell ref="BC2:BD2"/>
    <mergeCell ref="BA2:BB2"/>
    <mergeCell ref="BE2:BF2"/>
    <mergeCell ref="BG2:BH2"/>
    <mergeCell ref="AK1:AR1"/>
    <mergeCell ref="AK2:AL2"/>
    <mergeCell ref="AM2:AN2"/>
    <mergeCell ref="AO2:AP2"/>
    <mergeCell ref="AQ2:AR2"/>
    <mergeCell ref="AS2:AT2"/>
    <mergeCell ref="AU2:AV2"/>
    <mergeCell ref="AS1:AZ1"/>
    <mergeCell ref="L2:L4"/>
    <mergeCell ref="K2:K4"/>
    <mergeCell ref="F2:F4"/>
    <mergeCell ref="E2:E4"/>
    <mergeCell ref="J2:J4"/>
    <mergeCell ref="D2:D4"/>
    <mergeCell ref="G2:G4"/>
    <mergeCell ref="H2:H4"/>
    <mergeCell ref="I2:I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65"/>
  <rowBreaks count="1" manualBreakCount="1">
    <brk id="30" max="255" man="1"/>
  </rowBreaks>
  <colBreaks count="6" manualBreakCount="6">
    <brk id="12" max="49" man="1"/>
    <brk id="20" max="49" man="1"/>
    <brk id="28" max="49" man="1"/>
    <brk id="36" max="49" man="1"/>
    <brk id="44" max="49" man="1"/>
    <brk id="52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showGridLines="0" zoomScalePageLayoutView="0" workbookViewId="0" topLeftCell="A1">
      <selection activeCell="A1" sqref="A1"/>
    </sheetView>
  </sheetViews>
  <sheetFormatPr defaultColWidth="11.57421875" defaultRowHeight="21" customHeight="1"/>
  <cols>
    <col min="1" max="1" width="2.7109375" style="40" customWidth="1"/>
    <col min="2" max="3" width="20.7109375" style="40" customWidth="1"/>
    <col min="4" max="11" width="11.421875" style="40" customWidth="1"/>
    <col min="12" max="12" width="2.7109375" style="40" customWidth="1"/>
    <col min="13" max="16384" width="11.421875" style="40" customWidth="1"/>
  </cols>
  <sheetData>
    <row r="1" spans="1:12" ht="21" customHeight="1" thickTop="1">
      <c r="A1" s="143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 ht="21" customHeight="1">
      <c r="A2" s="146"/>
      <c r="B2" s="170"/>
      <c r="C2" s="171"/>
      <c r="D2" s="280" t="str">
        <f>+'PG-Zusammenfassung'!BA2</f>
        <v>EV/Umsatz</v>
      </c>
      <c r="E2" s="281"/>
      <c r="F2" s="280" t="str">
        <f>+'PG-Zusammenfassung'!BC2</f>
        <v>EV/EBITDA</v>
      </c>
      <c r="G2" s="281"/>
      <c r="H2" s="280" t="str">
        <f>+'PG-Zusammenfassung'!BE2</f>
        <v>EV/EBIT</v>
      </c>
      <c r="I2" s="281"/>
      <c r="J2" s="280" t="str">
        <f>+'PG-Zusammenfassung'!BG2</f>
        <v>KGV</v>
      </c>
      <c r="K2" s="281"/>
      <c r="L2" s="148"/>
    </row>
    <row r="3" spans="1:12" ht="21" customHeight="1">
      <c r="A3" s="146"/>
      <c r="B3" s="172"/>
      <c r="C3" s="173"/>
      <c r="D3" s="174">
        <f>+'PG-Zusammenfassung'!BA4</f>
        <v>2002</v>
      </c>
      <c r="E3" s="175">
        <f>+'PG-Zusammenfassung'!BB4</f>
        <v>2003</v>
      </c>
      <c r="F3" s="174">
        <f>+'PG-Zusammenfassung'!BC4</f>
        <v>2002</v>
      </c>
      <c r="G3" s="175">
        <f>+'PG-Zusammenfassung'!BD4</f>
        <v>2003</v>
      </c>
      <c r="H3" s="174">
        <f>+'PG-Zusammenfassung'!BE4</f>
        <v>2002</v>
      </c>
      <c r="I3" s="175">
        <f>+'PG-Zusammenfassung'!BF4</f>
        <v>2003</v>
      </c>
      <c r="J3" s="174">
        <f>+'PG-Zusammenfassung'!BG4</f>
        <v>2002</v>
      </c>
      <c r="K3" s="175">
        <f>+'PG-Zusammenfassung'!BH4</f>
        <v>2003</v>
      </c>
      <c r="L3" s="148"/>
    </row>
    <row r="4" spans="1:12" ht="21" customHeight="1">
      <c r="A4" s="146"/>
      <c r="B4" s="16" t="str">
        <f>+'PG-Zusammenfassung'!B5</f>
        <v>EUR</v>
      </c>
      <c r="C4" s="155" t="str">
        <f>+'PG-Zusammenfassung'!C5</f>
        <v>Beru</v>
      </c>
      <c r="D4" s="18">
        <f>+'PG-Zusammenfassung'!BA5</f>
        <v>1.17</v>
      </c>
      <c r="E4" s="154">
        <f>+'PG-Zusammenfassung'!BB5</f>
        <v>1.07</v>
      </c>
      <c r="F4" s="17">
        <f>+'PG-Zusammenfassung'!BC5</f>
        <v>4.8</v>
      </c>
      <c r="G4" s="153">
        <f>+'PG-Zusammenfassung'!BD5</f>
        <v>4.6</v>
      </c>
      <c r="H4" s="17">
        <f>+'PG-Zusammenfassung'!BE5</f>
        <v>6.8</v>
      </c>
      <c r="I4" s="153">
        <f>+'PG-Zusammenfassung'!BF5</f>
        <v>6.3</v>
      </c>
      <c r="J4" s="17">
        <f>+'PG-Zusammenfassung'!BG5</f>
        <v>11.6</v>
      </c>
      <c r="K4" s="153">
        <f>+'PG-Zusammenfassung'!BH5</f>
        <v>11.6</v>
      </c>
      <c r="L4" s="148"/>
    </row>
    <row r="5" spans="1:12" ht="21" customHeight="1">
      <c r="A5" s="146"/>
      <c r="B5" s="16" t="str">
        <f>+'PG-Zusammenfassung'!B6</f>
        <v>USA</v>
      </c>
      <c r="C5" s="155" t="str">
        <f>+'PG-Zusammenfassung'!C6</f>
        <v>Borgwarner</v>
      </c>
      <c r="D5" s="18">
        <f>+'PG-Zusammenfassung'!BA6</f>
        <v>0.95</v>
      </c>
      <c r="E5" s="154">
        <f>+'PG-Zusammenfassung'!BB6</f>
        <v>0.85</v>
      </c>
      <c r="F5" s="17">
        <f>+'PG-Zusammenfassung'!BC6</f>
        <v>6.8</v>
      </c>
      <c r="G5" s="153">
        <f>+'PG-Zusammenfassung'!BD6</f>
        <v>6.1</v>
      </c>
      <c r="H5" s="17">
        <f>+'PG-Zusammenfassung'!BE6</f>
        <v>9.9</v>
      </c>
      <c r="I5" s="153">
        <f>+'PG-Zusammenfassung'!BF6</f>
        <v>8.6</v>
      </c>
      <c r="J5" s="17">
        <f>+'PG-Zusammenfassung'!BG6</f>
        <v>10.7</v>
      </c>
      <c r="K5" s="153">
        <f>+'PG-Zusammenfassung'!BH6</f>
        <v>9.4</v>
      </c>
      <c r="L5" s="148"/>
    </row>
    <row r="6" spans="1:12" ht="21" customHeight="1">
      <c r="A6" s="146"/>
      <c r="B6" s="16" t="str">
        <f>+'PG-Zusammenfassung'!B7</f>
        <v>EUR</v>
      </c>
      <c r="C6" s="155" t="str">
        <f>+'PG-Zusammenfassung'!C7</f>
        <v>Continental</v>
      </c>
      <c r="D6" s="18">
        <f>+'PG-Zusammenfassung'!BA7</f>
        <v>0.51</v>
      </c>
      <c r="E6" s="154">
        <f>+'PG-Zusammenfassung'!BB7</f>
        <v>0.49</v>
      </c>
      <c r="F6" s="17">
        <f>+'PG-Zusammenfassung'!BC7</f>
        <v>4.6</v>
      </c>
      <c r="G6" s="153">
        <f>+'PG-Zusammenfassung'!BD7</f>
        <v>4.3</v>
      </c>
      <c r="H6" s="17">
        <f>+'PG-Zusammenfassung'!BE7</f>
        <v>9.7</v>
      </c>
      <c r="I6" s="153">
        <f>+'PG-Zusammenfassung'!BF7</f>
        <v>8.7</v>
      </c>
      <c r="J6" s="17">
        <f>+'PG-Zusammenfassung'!BG7</f>
        <v>8.3</v>
      </c>
      <c r="K6" s="153">
        <f>+'PG-Zusammenfassung'!BH7</f>
        <v>6.9</v>
      </c>
      <c r="L6" s="148"/>
    </row>
    <row r="7" spans="1:12" ht="21" customHeight="1">
      <c r="A7" s="146"/>
      <c r="B7" s="16" t="str">
        <f>+'PG-Zusammenfassung'!B8</f>
        <v>USA</v>
      </c>
      <c r="C7" s="155" t="str">
        <f>+'PG-Zusammenfassung'!C8</f>
        <v>Cummins</v>
      </c>
      <c r="D7" s="18">
        <f>+'PG-Zusammenfassung'!BA8</f>
        <v>0.47</v>
      </c>
      <c r="E7" s="154">
        <f>+'PG-Zusammenfassung'!BB8</f>
        <v>0.43</v>
      </c>
      <c r="F7" s="17">
        <f>+'PG-Zusammenfassung'!BC8</f>
        <v>8.2</v>
      </c>
      <c r="G7" s="153">
        <f>+'PG-Zusammenfassung'!BD8</f>
        <v>6.6</v>
      </c>
      <c r="H7" s="17"/>
      <c r="I7" s="153"/>
      <c r="J7" s="17">
        <f>+'PG-Zusammenfassung'!BG8</f>
        <v>50.2</v>
      </c>
      <c r="K7" s="153">
        <f>+'PG-Zusammenfassung'!BH8</f>
        <v>13.2</v>
      </c>
      <c r="L7" s="148"/>
    </row>
    <row r="8" spans="1:12" ht="21" customHeight="1">
      <c r="A8" s="146"/>
      <c r="B8" s="16" t="str">
        <f>+'PG-Zusammenfassung'!B9</f>
        <v>USA</v>
      </c>
      <c r="C8" s="155" t="str">
        <f>+'PG-Zusammenfassung'!C9</f>
        <v>Dana</v>
      </c>
      <c r="D8" s="18">
        <f>+'PG-Zusammenfassung'!BA9</f>
        <v>0.49</v>
      </c>
      <c r="E8" s="154">
        <f>+'PG-Zusammenfassung'!BB9</f>
        <v>0.46</v>
      </c>
      <c r="F8" s="17">
        <f>+'PG-Zusammenfassung'!BC9</f>
        <v>6.2</v>
      </c>
      <c r="G8" s="153">
        <f>+'PG-Zusammenfassung'!BD9</f>
        <v>4.9</v>
      </c>
      <c r="H8" s="17">
        <f>+'PG-Zusammenfassung'!BE9</f>
        <v>12.9</v>
      </c>
      <c r="I8" s="153">
        <f>+'PG-Zusammenfassung'!BF9</f>
        <v>9.8</v>
      </c>
      <c r="J8" s="17">
        <f>+'PG-Zusammenfassung'!BG9</f>
        <v>14.3</v>
      </c>
      <c r="K8" s="153">
        <f>+'PG-Zusammenfassung'!BH9</f>
        <v>10</v>
      </c>
      <c r="L8" s="148"/>
    </row>
    <row r="9" spans="1:12" ht="21" customHeight="1">
      <c r="A9" s="146"/>
      <c r="B9" s="16" t="str">
        <f>+'PG-Zusammenfassung'!B10</f>
        <v>USA</v>
      </c>
      <c r="C9" s="155" t="str">
        <f>+'PG-Zusammenfassung'!C10</f>
        <v>Delphi</v>
      </c>
      <c r="D9" s="18">
        <f>+'PG-Zusammenfassung'!BA10</f>
        <v>0.5</v>
      </c>
      <c r="E9" s="154">
        <f>+'PG-Zusammenfassung'!BB10</f>
        <v>0.49</v>
      </c>
      <c r="F9" s="17">
        <f>+'PG-Zusammenfassung'!BC10</f>
        <v>6.9</v>
      </c>
      <c r="G9" s="153">
        <f>+'PG-Zusammenfassung'!BD10</f>
        <v>6</v>
      </c>
      <c r="H9" s="17">
        <f>+'PG-Zusammenfassung'!BE10</f>
        <v>14.5</v>
      </c>
      <c r="I9" s="153">
        <f>+'PG-Zusammenfassung'!BF10</f>
        <v>13.1</v>
      </c>
      <c r="J9" s="17">
        <f>+'PG-Zusammenfassung'!BG10</f>
        <v>10.7</v>
      </c>
      <c r="K9" s="153">
        <f>+'PG-Zusammenfassung'!BH10</f>
        <v>8</v>
      </c>
      <c r="L9" s="148"/>
    </row>
    <row r="10" spans="1:12" ht="21" customHeight="1">
      <c r="A10" s="146"/>
      <c r="B10" s="16" t="str">
        <f>+'PG-Zusammenfassung'!B11</f>
        <v>JAP</v>
      </c>
      <c r="C10" s="155" t="str">
        <f>+'PG-Zusammenfassung'!C11</f>
        <v>Denso</v>
      </c>
      <c r="D10" s="18">
        <f>+'PG-Zusammenfassung'!BA11</f>
        <v>0.47</v>
      </c>
      <c r="E10" s="154">
        <f>+'PG-Zusammenfassung'!BB11</f>
        <v>0.47</v>
      </c>
      <c r="F10" s="17">
        <f>+'PG-Zusammenfassung'!BC11</f>
        <v>3.6</v>
      </c>
      <c r="G10" s="153">
        <f>+'PG-Zusammenfassung'!BD11</f>
        <v>3.4</v>
      </c>
      <c r="H10" s="17">
        <f>+'PG-Zusammenfassung'!BE11</f>
        <v>7.8</v>
      </c>
      <c r="I10" s="153">
        <f>+'PG-Zusammenfassung'!BF11</f>
        <v>7.6</v>
      </c>
      <c r="J10" s="17">
        <f>+'PG-Zusammenfassung'!BG11</f>
        <v>12.1</v>
      </c>
      <c r="K10" s="153">
        <f>+'PG-Zusammenfassung'!BH11</f>
        <v>15.9</v>
      </c>
      <c r="L10" s="148"/>
    </row>
    <row r="11" spans="1:12" ht="21" customHeight="1">
      <c r="A11" s="146"/>
      <c r="B11" s="16" t="str">
        <f>+'PG-Zusammenfassung'!B12</f>
        <v>USA</v>
      </c>
      <c r="C11" s="155" t="str">
        <f>+'PG-Zusammenfassung'!C12</f>
        <v>Eaton</v>
      </c>
      <c r="D11" s="18">
        <f>+'PG-Zusammenfassung'!BA12</f>
        <v>1.09</v>
      </c>
      <c r="E11" s="154">
        <f>+'PG-Zusammenfassung'!BB12</f>
        <v>1.05</v>
      </c>
      <c r="F11" s="17">
        <f>+'PG-Zusammenfassung'!BC12</f>
        <v>9.1</v>
      </c>
      <c r="G11" s="153">
        <f>+'PG-Zusammenfassung'!BD12</f>
        <v>8</v>
      </c>
      <c r="H11" s="17">
        <f>+'PG-Zusammenfassung'!BE12</f>
        <v>34.9</v>
      </c>
      <c r="I11" s="153">
        <f>+'PG-Zusammenfassung'!BF12</f>
        <v>30.7</v>
      </c>
      <c r="J11" s="17">
        <f>+'PG-Zusammenfassung'!BG12</f>
        <v>17</v>
      </c>
      <c r="K11" s="153">
        <f>+'PG-Zusammenfassung'!BH12</f>
        <v>12.8</v>
      </c>
      <c r="L11" s="148"/>
    </row>
    <row r="12" spans="1:12" ht="21" customHeight="1">
      <c r="A12" s="146"/>
      <c r="B12" s="16" t="str">
        <f>+'PG-Zusammenfassung'!B13</f>
        <v>EUR</v>
      </c>
      <c r="C12" s="155" t="str">
        <f>+'PG-Zusammenfassung'!C13</f>
        <v>Edscha</v>
      </c>
      <c r="D12" s="18">
        <f>+'PG-Zusammenfassung'!BA13</f>
        <v>0.52</v>
      </c>
      <c r="E12" s="154">
        <f>+'PG-Zusammenfassung'!BB13</f>
        <v>0.45</v>
      </c>
      <c r="F12" s="17">
        <f>+'PG-Zusammenfassung'!BC13</f>
        <v>4.4</v>
      </c>
      <c r="G12" s="153">
        <f>+'PG-Zusammenfassung'!BD13</f>
        <v>3.9</v>
      </c>
      <c r="H12" s="17">
        <f>+'PG-Zusammenfassung'!BE13</f>
        <v>7.1</v>
      </c>
      <c r="I12" s="153">
        <f>+'PG-Zusammenfassung'!BF13</f>
        <v>6.5</v>
      </c>
      <c r="J12" s="17">
        <f>+'PG-Zusammenfassung'!BG13</f>
        <v>9.3</v>
      </c>
      <c r="K12" s="153">
        <f>+'PG-Zusammenfassung'!BH13</f>
        <v>7.5</v>
      </c>
      <c r="L12" s="148"/>
    </row>
    <row r="13" spans="1:12" ht="21" customHeight="1">
      <c r="A13" s="146"/>
      <c r="B13" s="16" t="str">
        <f>+'PG-Zusammenfassung'!B14</f>
        <v>EUR</v>
      </c>
      <c r="C13" s="155" t="str">
        <f>+'PG-Zusammenfassung'!C14</f>
        <v>Faurecia</v>
      </c>
      <c r="D13" s="18">
        <f>+'PG-Zusammenfassung'!BA14</f>
        <v>0.31</v>
      </c>
      <c r="E13" s="154">
        <f>+'PG-Zusammenfassung'!BB14</f>
        <v>0.29</v>
      </c>
      <c r="F13" s="17">
        <f>+'PG-Zusammenfassung'!BC14</f>
        <v>5.4</v>
      </c>
      <c r="G13" s="153">
        <f>+'PG-Zusammenfassung'!BD14</f>
        <v>4.6</v>
      </c>
      <c r="H13" s="17">
        <f>+'PG-Zusammenfassung'!BE14</f>
        <v>12.6</v>
      </c>
      <c r="I13" s="153">
        <f>+'PG-Zusammenfassung'!BF14</f>
        <v>9.3</v>
      </c>
      <c r="J13" s="17">
        <f>+'PG-Zusammenfassung'!BG14</f>
        <v>-517.8</v>
      </c>
      <c r="K13" s="153">
        <f>+'PG-Zusammenfassung'!BH14</f>
        <v>24</v>
      </c>
      <c r="L13" s="148"/>
    </row>
    <row r="14" spans="1:12" ht="21" customHeight="1">
      <c r="A14" s="146"/>
      <c r="B14" s="16" t="str">
        <f>+'PG-Zusammenfassung'!B15</f>
        <v>EUR</v>
      </c>
      <c r="C14" s="155" t="str">
        <f>+'PG-Zusammenfassung'!C15</f>
        <v>Grammer</v>
      </c>
      <c r="D14" s="18"/>
      <c r="E14" s="154"/>
      <c r="F14" s="17"/>
      <c r="G14" s="153"/>
      <c r="H14" s="17"/>
      <c r="I14" s="153"/>
      <c r="J14" s="17"/>
      <c r="K14" s="153"/>
      <c r="L14" s="148"/>
    </row>
    <row r="15" spans="1:12" ht="21" customHeight="1">
      <c r="A15" s="146"/>
      <c r="B15" s="16" t="str">
        <f>+'PG-Zusammenfassung'!B16</f>
        <v>EUR</v>
      </c>
      <c r="C15" s="155" t="str">
        <f>+'PG-Zusammenfassung'!C16</f>
        <v>Kolbenschmidt Pierburg</v>
      </c>
      <c r="D15" s="18">
        <f>+'PG-Zusammenfassung'!BA16</f>
        <v>0.42</v>
      </c>
      <c r="E15" s="154">
        <f>+'PG-Zusammenfassung'!BB16</f>
        <v>0.41</v>
      </c>
      <c r="F15" s="17">
        <f>+'PG-Zusammenfassung'!BC16</f>
        <v>3.4</v>
      </c>
      <c r="G15" s="153">
        <f>+'PG-Zusammenfassung'!BD16</f>
        <v>3.2</v>
      </c>
      <c r="H15" s="17">
        <f>+'PG-Zusammenfassung'!BE16</f>
        <v>9.4</v>
      </c>
      <c r="I15" s="153">
        <f>+'PG-Zusammenfassung'!BF16</f>
        <v>8.6</v>
      </c>
      <c r="J15" s="17">
        <f>+'PG-Zusammenfassung'!BG16</f>
        <v>9.8</v>
      </c>
      <c r="K15" s="153">
        <f>+'PG-Zusammenfassung'!BH16</f>
        <v>7</v>
      </c>
      <c r="L15" s="148"/>
    </row>
    <row r="16" spans="1:12" ht="21" customHeight="1">
      <c r="A16" s="146"/>
      <c r="B16" s="16" t="str">
        <f>+'PG-Zusammenfassung'!B17</f>
        <v>USA</v>
      </c>
      <c r="C16" s="155" t="str">
        <f>+'PG-Zusammenfassung'!C17</f>
        <v>Lear</v>
      </c>
      <c r="D16" s="18">
        <f>+'PG-Zusammenfassung'!BA17</f>
        <v>0.37</v>
      </c>
      <c r="E16" s="154">
        <f>+'PG-Zusammenfassung'!BB17</f>
        <v>0.35</v>
      </c>
      <c r="F16" s="17">
        <f>+'PG-Zusammenfassung'!BC17</f>
        <v>5.3</v>
      </c>
      <c r="G16" s="153">
        <f>+'PG-Zusammenfassung'!BD17</f>
        <v>4.9</v>
      </c>
      <c r="H16" s="17">
        <f>+'PG-Zusammenfassung'!BE17</f>
        <v>7.2</v>
      </c>
      <c r="I16" s="153">
        <f>+'PG-Zusammenfassung'!BF17</f>
        <v>7.2</v>
      </c>
      <c r="J16" s="17">
        <f>+'PG-Zusammenfassung'!BG17</f>
        <v>10.6</v>
      </c>
      <c r="K16" s="153">
        <f>+'PG-Zusammenfassung'!BH17</f>
        <v>9.1</v>
      </c>
      <c r="L16" s="148"/>
    </row>
    <row r="17" spans="1:12" ht="21" customHeight="1">
      <c r="A17" s="146"/>
      <c r="B17" s="16" t="str">
        <f>+'PG-Zusammenfassung'!B18</f>
        <v>CAN</v>
      </c>
      <c r="C17" s="155" t="str">
        <f>+'PG-Zusammenfassung'!C18</f>
        <v>Magna</v>
      </c>
      <c r="D17" s="18">
        <f>+'PG-Zusammenfassung'!BA18</f>
        <v>0.5</v>
      </c>
      <c r="E17" s="154">
        <f>+'PG-Zusammenfassung'!BB18</f>
        <v>0.43</v>
      </c>
      <c r="F17" s="17">
        <f>+'PG-Zusammenfassung'!BC18</f>
        <v>4.4</v>
      </c>
      <c r="G17" s="153">
        <f>+'PG-Zusammenfassung'!BD18</f>
        <v>3.6</v>
      </c>
      <c r="H17" s="17">
        <f>+'PG-Zusammenfassung'!BE18</f>
        <v>6.3</v>
      </c>
      <c r="I17" s="153">
        <f>+'PG-Zusammenfassung'!BF18</f>
        <v>5.4</v>
      </c>
      <c r="J17" s="17">
        <f>+'PG-Zusammenfassung'!BG18</f>
        <v>10.7</v>
      </c>
      <c r="K17" s="153">
        <f>+'PG-Zusammenfassung'!BH18</f>
        <v>9.7</v>
      </c>
      <c r="L17" s="148"/>
    </row>
    <row r="18" spans="1:12" ht="21" customHeight="1">
      <c r="A18" s="146"/>
      <c r="B18" s="16" t="str">
        <f>+'PG-Zusammenfassung'!B19</f>
        <v>EUR</v>
      </c>
      <c r="C18" s="155" t="str">
        <f>+'PG-Zusammenfassung'!C19</f>
        <v>Michelin</v>
      </c>
      <c r="D18" s="18">
        <f>+'PG-Zusammenfassung'!BA19</f>
        <v>0.8</v>
      </c>
      <c r="E18" s="154">
        <f>+'PG-Zusammenfassung'!BB19</f>
        <v>0.78</v>
      </c>
      <c r="F18" s="17">
        <f>+'PG-Zusammenfassung'!BC19</f>
        <v>6.1</v>
      </c>
      <c r="G18" s="153">
        <f>+'PG-Zusammenfassung'!BD19</f>
        <v>5.6</v>
      </c>
      <c r="H18" s="17">
        <f>+'PG-Zusammenfassung'!BE19</f>
        <v>11.3</v>
      </c>
      <c r="I18" s="153">
        <f>+'PG-Zusammenfassung'!BF19</f>
        <v>9.8</v>
      </c>
      <c r="J18" s="17">
        <f>+'PG-Zusammenfassung'!BG19</f>
        <v>11.1</v>
      </c>
      <c r="K18" s="153">
        <f>+'PG-Zusammenfassung'!BH19</f>
        <v>8.6</v>
      </c>
      <c r="L18" s="148"/>
    </row>
    <row r="19" spans="1:12" ht="21" customHeight="1">
      <c r="A19" s="146"/>
      <c r="B19" s="16" t="str">
        <f>+'PG-Zusammenfassung'!B20</f>
        <v>USA</v>
      </c>
      <c r="C19" s="155" t="str">
        <f>+'PG-Zusammenfassung'!C20</f>
        <v>TRW</v>
      </c>
      <c r="D19" s="18">
        <f>+'PG-Zusammenfassung'!BA20</f>
        <v>0.56</v>
      </c>
      <c r="E19" s="154">
        <f>+'PG-Zusammenfassung'!BB20</f>
        <v>0.53</v>
      </c>
      <c r="F19" s="17">
        <f>+'PG-Zusammenfassung'!BC20</f>
        <v>5.6</v>
      </c>
      <c r="G19" s="153">
        <f>+'PG-Zusammenfassung'!BD20</f>
        <v>5.2</v>
      </c>
      <c r="H19" s="17">
        <f>+'PG-Zusammenfassung'!BE20</f>
        <v>9.3</v>
      </c>
      <c r="I19" s="153">
        <f>+'PG-Zusammenfassung'!BF20</f>
        <v>8.2</v>
      </c>
      <c r="J19" s="17">
        <f>+'PG-Zusammenfassung'!BG20</f>
        <v>16</v>
      </c>
      <c r="K19" s="153">
        <f>+'PG-Zusammenfassung'!BH20</f>
        <v>13.8</v>
      </c>
      <c r="L19" s="148"/>
    </row>
    <row r="20" spans="1:12" ht="21" customHeight="1">
      <c r="A20" s="146"/>
      <c r="B20" s="16" t="str">
        <f>+'PG-Zusammenfassung'!B21</f>
        <v>EUR</v>
      </c>
      <c r="C20" s="155" t="str">
        <f>+'PG-Zusammenfassung'!C21</f>
        <v>Valeo</v>
      </c>
      <c r="D20" s="18">
        <f>+'PG-Zusammenfassung'!BA21</f>
        <v>0.44</v>
      </c>
      <c r="E20" s="154">
        <f>+'PG-Zusammenfassung'!BB21</f>
        <v>0.42</v>
      </c>
      <c r="F20" s="17">
        <f>+'PG-Zusammenfassung'!BC21</f>
        <v>4.2</v>
      </c>
      <c r="G20" s="153">
        <f>+'PG-Zusammenfassung'!BD21</f>
        <v>3.8</v>
      </c>
      <c r="H20" s="17">
        <f>+'PG-Zusammenfassung'!BE21</f>
        <v>9.3</v>
      </c>
      <c r="I20" s="153">
        <f>+'PG-Zusammenfassung'!BF21</f>
        <v>7.6</v>
      </c>
      <c r="J20" s="17">
        <f>+'PG-Zusammenfassung'!BG21</f>
        <v>17.8</v>
      </c>
      <c r="K20" s="153">
        <f>+'PG-Zusammenfassung'!BH21</f>
        <v>12.8</v>
      </c>
      <c r="L20" s="148"/>
    </row>
    <row r="21" spans="1:12" ht="21" customHeight="1">
      <c r="A21" s="146"/>
      <c r="B21" s="16" t="str">
        <f>+'PG-Zusammenfassung'!B22</f>
        <v>USA</v>
      </c>
      <c r="C21" s="155" t="str">
        <f>+'PG-Zusammenfassung'!C22</f>
        <v>Visteon</v>
      </c>
      <c r="D21" s="18">
        <f>+'PG-Zusammenfassung'!BA22</f>
        <v>0.22</v>
      </c>
      <c r="E21" s="154">
        <f>+'PG-Zusammenfassung'!BB22</f>
        <v>0.22</v>
      </c>
      <c r="F21" s="17">
        <f>+'PG-Zusammenfassung'!BC22</f>
        <v>5.1</v>
      </c>
      <c r="G21" s="153">
        <f>+'PG-Zusammenfassung'!BD22</f>
        <v>4.1</v>
      </c>
      <c r="H21" s="17">
        <f>+'PG-Zusammenfassung'!BE22</f>
        <v>20.3</v>
      </c>
      <c r="I21" s="153">
        <f>+'PG-Zusammenfassung'!BF22</f>
        <v>16.1</v>
      </c>
      <c r="J21" s="17">
        <f>+'PG-Zusammenfassung'!BG22</f>
        <v>22.6</v>
      </c>
      <c r="K21" s="153">
        <f>+'PG-Zusammenfassung'!BH22</f>
        <v>12</v>
      </c>
      <c r="L21" s="148"/>
    </row>
    <row r="22" spans="1:12" ht="21" customHeight="1">
      <c r="A22" s="146"/>
      <c r="B22" s="161" t="str">
        <f>+'PG-Zusammenfassung'!B23</f>
        <v>EUR</v>
      </c>
      <c r="C22" s="156" t="str">
        <f>+'PG-Zusammenfassung'!C23</f>
        <v>WET Automotive</v>
      </c>
      <c r="D22" s="157">
        <f>+'PG-Zusammenfassung'!BA23</f>
        <v>0.75</v>
      </c>
      <c r="E22" s="158">
        <f>+'PG-Zusammenfassung'!BB23</f>
        <v>0.68</v>
      </c>
      <c r="F22" s="159">
        <f>+'PG-Zusammenfassung'!BC23</f>
        <v>3.7</v>
      </c>
      <c r="G22" s="160">
        <f>+'PG-Zusammenfassung'!BD23</f>
        <v>3.5</v>
      </c>
      <c r="H22" s="159">
        <f>+'PG-Zusammenfassung'!BE23</f>
        <v>5.3</v>
      </c>
      <c r="I22" s="160">
        <f>+'PG-Zusammenfassung'!BF23</f>
        <v>4.8</v>
      </c>
      <c r="J22" s="159">
        <f>+'PG-Zusammenfassung'!BG23</f>
        <v>8.4</v>
      </c>
      <c r="K22" s="160">
        <f>+'PG-Zusammenfassung'!BH23</f>
        <v>7.7</v>
      </c>
      <c r="L22" s="148"/>
    </row>
    <row r="23" spans="1:12" ht="21" customHeight="1">
      <c r="A23" s="146"/>
      <c r="B23" s="16" t="s">
        <v>19</v>
      </c>
      <c r="C23" s="155"/>
      <c r="D23" s="18">
        <f aca="true" t="shared" si="0" ref="D23:K23">MEDIAN(D4:D22)</f>
        <v>0.5</v>
      </c>
      <c r="E23" s="154">
        <f t="shared" si="0"/>
        <v>0.46499999999999997</v>
      </c>
      <c r="F23" s="17">
        <f t="shared" si="0"/>
        <v>5.199999999999999</v>
      </c>
      <c r="G23" s="153">
        <f t="shared" si="0"/>
        <v>4.6</v>
      </c>
      <c r="H23" s="17">
        <f t="shared" si="0"/>
        <v>9.4</v>
      </c>
      <c r="I23" s="153">
        <f t="shared" si="0"/>
        <v>8.6</v>
      </c>
      <c r="J23" s="17">
        <f t="shared" si="0"/>
        <v>10.899999999999999</v>
      </c>
      <c r="K23" s="153">
        <f t="shared" si="0"/>
        <v>9.85</v>
      </c>
      <c r="L23" s="148"/>
    </row>
    <row r="24" spans="1:12" ht="21" customHeight="1">
      <c r="A24" s="146"/>
      <c r="B24" s="161" t="s">
        <v>20</v>
      </c>
      <c r="C24" s="156"/>
      <c r="D24" s="157">
        <f>AVERAGE(D4:D22)</f>
        <v>0.5855555555555556</v>
      </c>
      <c r="E24" s="158">
        <f aca="true" t="shared" si="1" ref="E24:K24">AVERAGE(E4:E22)</f>
        <v>0.5483333333333333</v>
      </c>
      <c r="F24" s="159">
        <f t="shared" si="1"/>
        <v>5.433333333333334</v>
      </c>
      <c r="G24" s="160">
        <f t="shared" si="1"/>
        <v>4.794444444444443</v>
      </c>
      <c r="H24" s="159">
        <f t="shared" si="1"/>
        <v>11.447058823529416</v>
      </c>
      <c r="I24" s="160">
        <f t="shared" si="1"/>
        <v>9.899999999999999</v>
      </c>
      <c r="J24" s="159">
        <f t="shared" si="1"/>
        <v>-14.811111111111106</v>
      </c>
      <c r="K24" s="160">
        <f t="shared" si="1"/>
        <v>11.11111111111111</v>
      </c>
      <c r="L24" s="148"/>
    </row>
    <row r="25" spans="1:12" ht="21" customHeight="1" thickBot="1">
      <c r="A25" s="150"/>
      <c r="B25" s="151"/>
      <c r="C25" s="151"/>
      <c r="D25" s="168"/>
      <c r="E25" s="168"/>
      <c r="F25" s="169"/>
      <c r="G25" s="169"/>
      <c r="H25" s="169"/>
      <c r="I25" s="169"/>
      <c r="J25" s="169"/>
      <c r="K25" s="169"/>
      <c r="L25" s="152"/>
    </row>
    <row r="26" spans="1:12" ht="21" customHeight="1" thickTop="1">
      <c r="A26" s="146"/>
      <c r="B26" s="16" t="s">
        <v>67</v>
      </c>
      <c r="C26" s="155" t="str">
        <f>+C4</f>
        <v>Beru</v>
      </c>
      <c r="D26" s="18">
        <f aca="true" t="shared" si="2" ref="D26:K26">+D4</f>
        <v>1.17</v>
      </c>
      <c r="E26" s="154">
        <f t="shared" si="2"/>
        <v>1.07</v>
      </c>
      <c r="F26" s="17">
        <f t="shared" si="2"/>
        <v>4.8</v>
      </c>
      <c r="G26" s="153">
        <f t="shared" si="2"/>
        <v>4.6</v>
      </c>
      <c r="H26" s="17">
        <f t="shared" si="2"/>
        <v>6.8</v>
      </c>
      <c r="I26" s="153">
        <f t="shared" si="2"/>
        <v>6.3</v>
      </c>
      <c r="J26" s="17">
        <f t="shared" si="2"/>
        <v>11.6</v>
      </c>
      <c r="K26" s="153">
        <f t="shared" si="2"/>
        <v>11.6</v>
      </c>
      <c r="L26" s="148"/>
    </row>
    <row r="27" spans="1:12" ht="21" customHeight="1">
      <c r="A27" s="146"/>
      <c r="B27" s="16"/>
      <c r="C27" s="155" t="str">
        <f>+C6</f>
        <v>Continental</v>
      </c>
      <c r="D27" s="18">
        <f aca="true" t="shared" si="3" ref="D27:K27">+D6</f>
        <v>0.51</v>
      </c>
      <c r="E27" s="154">
        <f t="shared" si="3"/>
        <v>0.49</v>
      </c>
      <c r="F27" s="17">
        <f t="shared" si="3"/>
        <v>4.6</v>
      </c>
      <c r="G27" s="153">
        <f t="shared" si="3"/>
        <v>4.3</v>
      </c>
      <c r="H27" s="17">
        <f t="shared" si="3"/>
        <v>9.7</v>
      </c>
      <c r="I27" s="153">
        <f t="shared" si="3"/>
        <v>8.7</v>
      </c>
      <c r="J27" s="17">
        <f t="shared" si="3"/>
        <v>8.3</v>
      </c>
      <c r="K27" s="153">
        <f t="shared" si="3"/>
        <v>6.9</v>
      </c>
      <c r="L27" s="148"/>
    </row>
    <row r="28" spans="1:12" ht="21" customHeight="1">
      <c r="A28" s="146"/>
      <c r="B28" s="16"/>
      <c r="C28" s="155" t="str">
        <f>+C12</f>
        <v>Edscha</v>
      </c>
      <c r="D28" s="18">
        <f aca="true" t="shared" si="4" ref="D28:K28">+D12</f>
        <v>0.52</v>
      </c>
      <c r="E28" s="154">
        <f t="shared" si="4"/>
        <v>0.45</v>
      </c>
      <c r="F28" s="17">
        <f t="shared" si="4"/>
        <v>4.4</v>
      </c>
      <c r="G28" s="153">
        <f t="shared" si="4"/>
        <v>3.9</v>
      </c>
      <c r="H28" s="17">
        <f t="shared" si="4"/>
        <v>7.1</v>
      </c>
      <c r="I28" s="153">
        <f t="shared" si="4"/>
        <v>6.5</v>
      </c>
      <c r="J28" s="17">
        <f t="shared" si="4"/>
        <v>9.3</v>
      </c>
      <c r="K28" s="153">
        <f t="shared" si="4"/>
        <v>7.5</v>
      </c>
      <c r="L28" s="148"/>
    </row>
    <row r="29" spans="1:12" ht="21" customHeight="1">
      <c r="A29" s="146"/>
      <c r="B29" s="16"/>
      <c r="C29" s="155" t="str">
        <f>+C14</f>
        <v>Grammer</v>
      </c>
      <c r="D29" s="18"/>
      <c r="E29" s="154"/>
      <c r="F29" s="17"/>
      <c r="G29" s="153"/>
      <c r="H29" s="17"/>
      <c r="I29" s="153"/>
      <c r="J29" s="17"/>
      <c r="K29" s="153"/>
      <c r="L29" s="148"/>
    </row>
    <row r="30" spans="1:12" ht="21" customHeight="1">
      <c r="A30" s="146"/>
      <c r="B30" s="16"/>
      <c r="C30" s="155" t="str">
        <f>+C15</f>
        <v>Kolbenschmidt Pierburg</v>
      </c>
      <c r="D30" s="18">
        <f aca="true" t="shared" si="5" ref="D30:K30">+D15</f>
        <v>0.42</v>
      </c>
      <c r="E30" s="154">
        <f t="shared" si="5"/>
        <v>0.41</v>
      </c>
      <c r="F30" s="17">
        <f t="shared" si="5"/>
        <v>3.4</v>
      </c>
      <c r="G30" s="153">
        <f t="shared" si="5"/>
        <v>3.2</v>
      </c>
      <c r="H30" s="17">
        <f t="shared" si="5"/>
        <v>9.4</v>
      </c>
      <c r="I30" s="153">
        <f t="shared" si="5"/>
        <v>8.6</v>
      </c>
      <c r="J30" s="17">
        <f t="shared" si="5"/>
        <v>9.8</v>
      </c>
      <c r="K30" s="153">
        <f t="shared" si="5"/>
        <v>7</v>
      </c>
      <c r="L30" s="148"/>
    </row>
    <row r="31" spans="1:12" ht="21" customHeight="1">
      <c r="A31" s="146"/>
      <c r="B31" s="161"/>
      <c r="C31" s="156" t="str">
        <f>+C22</f>
        <v>WET Automotive</v>
      </c>
      <c r="D31" s="157">
        <f aca="true" t="shared" si="6" ref="D31:K31">+D22</f>
        <v>0.75</v>
      </c>
      <c r="E31" s="158">
        <f t="shared" si="6"/>
        <v>0.68</v>
      </c>
      <c r="F31" s="159">
        <f t="shared" si="6"/>
        <v>3.7</v>
      </c>
      <c r="G31" s="160">
        <f t="shared" si="6"/>
        <v>3.5</v>
      </c>
      <c r="H31" s="159">
        <f t="shared" si="6"/>
        <v>5.3</v>
      </c>
      <c r="I31" s="160">
        <f t="shared" si="6"/>
        <v>4.8</v>
      </c>
      <c r="J31" s="159">
        <f t="shared" si="6"/>
        <v>8.4</v>
      </c>
      <c r="K31" s="160">
        <f t="shared" si="6"/>
        <v>7.7</v>
      </c>
      <c r="L31" s="148"/>
    </row>
    <row r="32" spans="1:12" ht="21" customHeight="1">
      <c r="A32" s="146"/>
      <c r="B32" s="16" t="s">
        <v>98</v>
      </c>
      <c r="C32" s="155" t="str">
        <f>+C13</f>
        <v>Faurecia</v>
      </c>
      <c r="D32" s="18">
        <f aca="true" t="shared" si="7" ref="D32:K32">+D13</f>
        <v>0.31</v>
      </c>
      <c r="E32" s="154">
        <f t="shared" si="7"/>
        <v>0.29</v>
      </c>
      <c r="F32" s="17">
        <f t="shared" si="7"/>
        <v>5.4</v>
      </c>
      <c r="G32" s="153">
        <f t="shared" si="7"/>
        <v>4.6</v>
      </c>
      <c r="H32" s="17">
        <f t="shared" si="7"/>
        <v>12.6</v>
      </c>
      <c r="I32" s="153">
        <f t="shared" si="7"/>
        <v>9.3</v>
      </c>
      <c r="J32" s="17">
        <f t="shared" si="7"/>
        <v>-517.8</v>
      </c>
      <c r="K32" s="153">
        <f t="shared" si="7"/>
        <v>24</v>
      </c>
      <c r="L32" s="148"/>
    </row>
    <row r="33" spans="1:12" ht="21" customHeight="1">
      <c r="A33" s="146"/>
      <c r="B33" s="16"/>
      <c r="C33" s="155" t="str">
        <f>+C18</f>
        <v>Michelin</v>
      </c>
      <c r="D33" s="18">
        <f aca="true" t="shared" si="8" ref="D33:K33">+D18</f>
        <v>0.8</v>
      </c>
      <c r="E33" s="154">
        <f t="shared" si="8"/>
        <v>0.78</v>
      </c>
      <c r="F33" s="17">
        <f t="shared" si="8"/>
        <v>6.1</v>
      </c>
      <c r="G33" s="153">
        <f t="shared" si="8"/>
        <v>5.6</v>
      </c>
      <c r="H33" s="17">
        <f t="shared" si="8"/>
        <v>11.3</v>
      </c>
      <c r="I33" s="153">
        <f t="shared" si="8"/>
        <v>9.8</v>
      </c>
      <c r="J33" s="17">
        <f t="shared" si="8"/>
        <v>11.1</v>
      </c>
      <c r="K33" s="153">
        <f t="shared" si="8"/>
        <v>8.6</v>
      </c>
      <c r="L33" s="148"/>
    </row>
    <row r="34" spans="1:12" ht="21" customHeight="1">
      <c r="A34" s="146"/>
      <c r="B34" s="161"/>
      <c r="C34" s="156" t="str">
        <f>+C20</f>
        <v>Valeo</v>
      </c>
      <c r="D34" s="157">
        <f aca="true" t="shared" si="9" ref="D34:K34">+D20</f>
        <v>0.44</v>
      </c>
      <c r="E34" s="158">
        <f t="shared" si="9"/>
        <v>0.42</v>
      </c>
      <c r="F34" s="159">
        <f t="shared" si="9"/>
        <v>4.2</v>
      </c>
      <c r="G34" s="160">
        <f t="shared" si="9"/>
        <v>3.8</v>
      </c>
      <c r="H34" s="159">
        <f t="shared" si="9"/>
        <v>9.3</v>
      </c>
      <c r="I34" s="160">
        <f t="shared" si="9"/>
        <v>7.6</v>
      </c>
      <c r="J34" s="159">
        <f t="shared" si="9"/>
        <v>17.8</v>
      </c>
      <c r="K34" s="160">
        <f t="shared" si="9"/>
        <v>12.8</v>
      </c>
      <c r="L34" s="148"/>
    </row>
    <row r="35" spans="1:12" ht="21" customHeight="1">
      <c r="A35" s="146"/>
      <c r="B35" s="16" t="s">
        <v>127</v>
      </c>
      <c r="C35" s="155" t="str">
        <f>+C5</f>
        <v>Borgwarner</v>
      </c>
      <c r="D35" s="18">
        <f aca="true" t="shared" si="10" ref="D35:K35">+D5</f>
        <v>0.95</v>
      </c>
      <c r="E35" s="154">
        <f t="shared" si="10"/>
        <v>0.85</v>
      </c>
      <c r="F35" s="17">
        <f t="shared" si="10"/>
        <v>6.8</v>
      </c>
      <c r="G35" s="153">
        <f t="shared" si="10"/>
        <v>6.1</v>
      </c>
      <c r="H35" s="17">
        <f t="shared" si="10"/>
        <v>9.9</v>
      </c>
      <c r="I35" s="153">
        <f t="shared" si="10"/>
        <v>8.6</v>
      </c>
      <c r="J35" s="17">
        <f t="shared" si="10"/>
        <v>10.7</v>
      </c>
      <c r="K35" s="153">
        <f t="shared" si="10"/>
        <v>9.4</v>
      </c>
      <c r="L35" s="148"/>
    </row>
    <row r="36" spans="1:12" ht="21" customHeight="1">
      <c r="A36" s="146"/>
      <c r="B36" s="16"/>
      <c r="C36" s="155" t="str">
        <f>+C7</f>
        <v>Cummins</v>
      </c>
      <c r="D36" s="18">
        <f aca="true" t="shared" si="11" ref="D36:K36">+D7</f>
        <v>0.47</v>
      </c>
      <c r="E36" s="154">
        <f t="shared" si="11"/>
        <v>0.43</v>
      </c>
      <c r="F36" s="17">
        <f t="shared" si="11"/>
        <v>8.2</v>
      </c>
      <c r="G36" s="153">
        <f t="shared" si="11"/>
        <v>6.6</v>
      </c>
      <c r="H36" s="17"/>
      <c r="I36" s="153"/>
      <c r="J36" s="17">
        <f t="shared" si="11"/>
        <v>50.2</v>
      </c>
      <c r="K36" s="153">
        <f t="shared" si="11"/>
        <v>13.2</v>
      </c>
      <c r="L36" s="148"/>
    </row>
    <row r="37" spans="1:12" ht="21" customHeight="1">
      <c r="A37" s="146"/>
      <c r="B37" s="16"/>
      <c r="C37" s="155" t="str">
        <f>+C8</f>
        <v>Dana</v>
      </c>
      <c r="D37" s="18">
        <f aca="true" t="shared" si="12" ref="D37:K37">+D8</f>
        <v>0.49</v>
      </c>
      <c r="E37" s="154">
        <f t="shared" si="12"/>
        <v>0.46</v>
      </c>
      <c r="F37" s="17">
        <f t="shared" si="12"/>
        <v>6.2</v>
      </c>
      <c r="G37" s="153">
        <f t="shared" si="12"/>
        <v>4.9</v>
      </c>
      <c r="H37" s="17">
        <f t="shared" si="12"/>
        <v>12.9</v>
      </c>
      <c r="I37" s="153">
        <f t="shared" si="12"/>
        <v>9.8</v>
      </c>
      <c r="J37" s="17">
        <f t="shared" si="12"/>
        <v>14.3</v>
      </c>
      <c r="K37" s="153">
        <f t="shared" si="12"/>
        <v>10</v>
      </c>
      <c r="L37" s="148"/>
    </row>
    <row r="38" spans="1:12" ht="21" customHeight="1">
      <c r="A38" s="146"/>
      <c r="B38" s="16"/>
      <c r="C38" s="155" t="str">
        <f>+C9</f>
        <v>Delphi</v>
      </c>
      <c r="D38" s="18">
        <f aca="true" t="shared" si="13" ref="D38:K38">+D9</f>
        <v>0.5</v>
      </c>
      <c r="E38" s="154">
        <f t="shared" si="13"/>
        <v>0.49</v>
      </c>
      <c r="F38" s="17">
        <f t="shared" si="13"/>
        <v>6.9</v>
      </c>
      <c r="G38" s="153">
        <f t="shared" si="13"/>
        <v>6</v>
      </c>
      <c r="H38" s="17">
        <f t="shared" si="13"/>
        <v>14.5</v>
      </c>
      <c r="I38" s="153">
        <f t="shared" si="13"/>
        <v>13.1</v>
      </c>
      <c r="J38" s="17">
        <f t="shared" si="13"/>
        <v>10.7</v>
      </c>
      <c r="K38" s="153">
        <f t="shared" si="13"/>
        <v>8</v>
      </c>
      <c r="L38" s="148"/>
    </row>
    <row r="39" spans="1:12" ht="21" customHeight="1">
      <c r="A39" s="146"/>
      <c r="B39" s="16"/>
      <c r="C39" s="155" t="str">
        <f>+C11</f>
        <v>Eaton</v>
      </c>
      <c r="D39" s="18">
        <f aca="true" t="shared" si="14" ref="D39:K39">+D11</f>
        <v>1.09</v>
      </c>
      <c r="E39" s="154">
        <f t="shared" si="14"/>
        <v>1.05</v>
      </c>
      <c r="F39" s="17">
        <f t="shared" si="14"/>
        <v>9.1</v>
      </c>
      <c r="G39" s="153">
        <f t="shared" si="14"/>
        <v>8</v>
      </c>
      <c r="H39" s="17">
        <f t="shared" si="14"/>
        <v>34.9</v>
      </c>
      <c r="I39" s="153">
        <f t="shared" si="14"/>
        <v>30.7</v>
      </c>
      <c r="J39" s="17">
        <f t="shared" si="14"/>
        <v>17</v>
      </c>
      <c r="K39" s="153">
        <f t="shared" si="14"/>
        <v>12.8</v>
      </c>
      <c r="L39" s="148"/>
    </row>
    <row r="40" spans="1:12" ht="21" customHeight="1">
      <c r="A40" s="146"/>
      <c r="B40" s="16"/>
      <c r="C40" s="155" t="str">
        <f>+C16</f>
        <v>Lear</v>
      </c>
      <c r="D40" s="18">
        <f aca="true" t="shared" si="15" ref="D40:K40">+D16</f>
        <v>0.37</v>
      </c>
      <c r="E40" s="154">
        <f t="shared" si="15"/>
        <v>0.35</v>
      </c>
      <c r="F40" s="17">
        <f t="shared" si="15"/>
        <v>5.3</v>
      </c>
      <c r="G40" s="153">
        <f t="shared" si="15"/>
        <v>4.9</v>
      </c>
      <c r="H40" s="17">
        <f t="shared" si="15"/>
        <v>7.2</v>
      </c>
      <c r="I40" s="153">
        <f t="shared" si="15"/>
        <v>7.2</v>
      </c>
      <c r="J40" s="17">
        <f t="shared" si="15"/>
        <v>10.6</v>
      </c>
      <c r="K40" s="153">
        <f t="shared" si="15"/>
        <v>9.1</v>
      </c>
      <c r="L40" s="148"/>
    </row>
    <row r="41" spans="1:12" ht="21" customHeight="1">
      <c r="A41" s="146"/>
      <c r="B41" s="16"/>
      <c r="C41" s="155" t="str">
        <f>+C17</f>
        <v>Magna</v>
      </c>
      <c r="D41" s="18">
        <f aca="true" t="shared" si="16" ref="D41:K41">+D17</f>
        <v>0.5</v>
      </c>
      <c r="E41" s="154">
        <f t="shared" si="16"/>
        <v>0.43</v>
      </c>
      <c r="F41" s="17">
        <f t="shared" si="16"/>
        <v>4.4</v>
      </c>
      <c r="G41" s="153">
        <f t="shared" si="16"/>
        <v>3.6</v>
      </c>
      <c r="H41" s="17">
        <f t="shared" si="16"/>
        <v>6.3</v>
      </c>
      <c r="I41" s="153">
        <f t="shared" si="16"/>
        <v>5.4</v>
      </c>
      <c r="J41" s="17">
        <f t="shared" si="16"/>
        <v>10.7</v>
      </c>
      <c r="K41" s="153">
        <f t="shared" si="16"/>
        <v>9.7</v>
      </c>
      <c r="L41" s="148"/>
    </row>
    <row r="42" spans="1:12" ht="21" customHeight="1">
      <c r="A42" s="146"/>
      <c r="B42" s="16"/>
      <c r="C42" s="155" t="str">
        <f>+C19</f>
        <v>TRW</v>
      </c>
      <c r="D42" s="18">
        <f aca="true" t="shared" si="17" ref="D42:K42">+D19</f>
        <v>0.56</v>
      </c>
      <c r="E42" s="154">
        <f t="shared" si="17"/>
        <v>0.53</v>
      </c>
      <c r="F42" s="17">
        <f t="shared" si="17"/>
        <v>5.6</v>
      </c>
      <c r="G42" s="153">
        <f t="shared" si="17"/>
        <v>5.2</v>
      </c>
      <c r="H42" s="17">
        <f t="shared" si="17"/>
        <v>9.3</v>
      </c>
      <c r="I42" s="153">
        <f t="shared" si="17"/>
        <v>8.2</v>
      </c>
      <c r="J42" s="17">
        <f t="shared" si="17"/>
        <v>16</v>
      </c>
      <c r="K42" s="153">
        <f t="shared" si="17"/>
        <v>13.8</v>
      </c>
      <c r="L42" s="148"/>
    </row>
    <row r="43" spans="1:12" ht="21" customHeight="1">
      <c r="A43" s="146"/>
      <c r="B43" s="161"/>
      <c r="C43" s="156" t="str">
        <f>+C21</f>
        <v>Visteon</v>
      </c>
      <c r="D43" s="157">
        <f aca="true" t="shared" si="18" ref="D43:K43">+D21</f>
        <v>0.22</v>
      </c>
      <c r="E43" s="158">
        <f t="shared" si="18"/>
        <v>0.22</v>
      </c>
      <c r="F43" s="159">
        <f t="shared" si="18"/>
        <v>5.1</v>
      </c>
      <c r="G43" s="160">
        <f t="shared" si="18"/>
        <v>4.1</v>
      </c>
      <c r="H43" s="159">
        <f t="shared" si="18"/>
        <v>20.3</v>
      </c>
      <c r="I43" s="160">
        <f t="shared" si="18"/>
        <v>16.1</v>
      </c>
      <c r="J43" s="159">
        <f t="shared" si="18"/>
        <v>22.6</v>
      </c>
      <c r="K43" s="160">
        <f t="shared" si="18"/>
        <v>12</v>
      </c>
      <c r="L43" s="148"/>
    </row>
    <row r="44" spans="1:12" ht="21" customHeight="1">
      <c r="A44" s="146"/>
      <c r="B44" s="167" t="s">
        <v>69</v>
      </c>
      <c r="C44" s="162" t="str">
        <f>+C10</f>
        <v>Denso</v>
      </c>
      <c r="D44" s="163">
        <f aca="true" t="shared" si="19" ref="D44:K44">+D10</f>
        <v>0.47</v>
      </c>
      <c r="E44" s="164">
        <f t="shared" si="19"/>
        <v>0.47</v>
      </c>
      <c r="F44" s="165">
        <f t="shared" si="19"/>
        <v>3.6</v>
      </c>
      <c r="G44" s="166">
        <f t="shared" si="19"/>
        <v>3.4</v>
      </c>
      <c r="H44" s="165">
        <f t="shared" si="19"/>
        <v>7.8</v>
      </c>
      <c r="I44" s="166">
        <f t="shared" si="19"/>
        <v>7.6</v>
      </c>
      <c r="J44" s="165">
        <f t="shared" si="19"/>
        <v>12.1</v>
      </c>
      <c r="K44" s="166">
        <f t="shared" si="19"/>
        <v>15.9</v>
      </c>
      <c r="L44" s="148"/>
    </row>
    <row r="45" spans="1:12" ht="21" customHeight="1">
      <c r="A45" s="146"/>
      <c r="B45" s="16" t="s">
        <v>67</v>
      </c>
      <c r="C45" s="155" t="s">
        <v>19</v>
      </c>
      <c r="D45" s="18">
        <f>MEDIAN(D26:D31)</f>
        <v>0.52</v>
      </c>
      <c r="E45" s="154">
        <f aca="true" t="shared" si="20" ref="E45:K45">MEDIAN(E26:E31)</f>
        <v>0.49</v>
      </c>
      <c r="F45" s="17">
        <f t="shared" si="20"/>
        <v>4.4</v>
      </c>
      <c r="G45" s="153">
        <f t="shared" si="20"/>
        <v>3.9</v>
      </c>
      <c r="H45" s="17">
        <f t="shared" si="20"/>
        <v>7.1</v>
      </c>
      <c r="I45" s="153">
        <f t="shared" si="20"/>
        <v>6.5</v>
      </c>
      <c r="J45" s="17">
        <f t="shared" si="20"/>
        <v>9.3</v>
      </c>
      <c r="K45" s="153">
        <f t="shared" si="20"/>
        <v>7.5</v>
      </c>
      <c r="L45" s="148"/>
    </row>
    <row r="46" spans="1:12" ht="21" customHeight="1">
      <c r="A46" s="146"/>
      <c r="B46" s="161"/>
      <c r="C46" s="156" t="s">
        <v>20</v>
      </c>
      <c r="D46" s="157">
        <f aca="true" t="shared" si="21" ref="D46:K46">AVERAGE(D26:D31)</f>
        <v>0.674</v>
      </c>
      <c r="E46" s="158">
        <f t="shared" si="21"/>
        <v>0.6200000000000001</v>
      </c>
      <c r="F46" s="159">
        <f t="shared" si="21"/>
        <v>4.18</v>
      </c>
      <c r="G46" s="160">
        <f t="shared" si="21"/>
        <v>3.9</v>
      </c>
      <c r="H46" s="159">
        <f t="shared" si="21"/>
        <v>7.659999999999999</v>
      </c>
      <c r="I46" s="160">
        <f t="shared" si="21"/>
        <v>6.9799999999999995</v>
      </c>
      <c r="J46" s="159">
        <f t="shared" si="21"/>
        <v>9.48</v>
      </c>
      <c r="K46" s="160">
        <f t="shared" si="21"/>
        <v>8.14</v>
      </c>
      <c r="L46" s="148"/>
    </row>
    <row r="47" spans="1:12" ht="21" customHeight="1">
      <c r="A47" s="146"/>
      <c r="B47" s="16" t="s">
        <v>98</v>
      </c>
      <c r="C47" s="155" t="s">
        <v>19</v>
      </c>
      <c r="D47" s="18">
        <f>MEDIAN(D26:D34)</f>
        <v>0.515</v>
      </c>
      <c r="E47" s="154">
        <f aca="true" t="shared" si="22" ref="E47:K47">MEDIAN(E26:E34)</f>
        <v>0.47</v>
      </c>
      <c r="F47" s="17">
        <f t="shared" si="22"/>
        <v>4.5</v>
      </c>
      <c r="G47" s="153">
        <f t="shared" si="22"/>
        <v>4.1</v>
      </c>
      <c r="H47" s="17">
        <f t="shared" si="22"/>
        <v>9.350000000000001</v>
      </c>
      <c r="I47" s="153">
        <f t="shared" si="22"/>
        <v>8.1</v>
      </c>
      <c r="J47" s="17">
        <f t="shared" si="22"/>
        <v>9.55</v>
      </c>
      <c r="K47" s="153">
        <f t="shared" si="22"/>
        <v>8.15</v>
      </c>
      <c r="L47" s="148"/>
    </row>
    <row r="48" spans="1:12" ht="21" customHeight="1">
      <c r="A48" s="146"/>
      <c r="B48" s="161"/>
      <c r="C48" s="156" t="s">
        <v>20</v>
      </c>
      <c r="D48" s="157">
        <f aca="true" t="shared" si="23" ref="D48:K48">AVERAGE(D26:D34)</f>
        <v>0.6150000000000001</v>
      </c>
      <c r="E48" s="158">
        <f t="shared" si="23"/>
        <v>0.5737500000000001</v>
      </c>
      <c r="F48" s="159">
        <f t="shared" si="23"/>
        <v>4.575</v>
      </c>
      <c r="G48" s="160">
        <f t="shared" si="23"/>
        <v>4.1875</v>
      </c>
      <c r="H48" s="159">
        <f t="shared" si="23"/>
        <v>8.9375</v>
      </c>
      <c r="I48" s="160">
        <f t="shared" si="23"/>
        <v>7.7</v>
      </c>
      <c r="J48" s="159">
        <f t="shared" si="23"/>
        <v>-55.18749999999999</v>
      </c>
      <c r="K48" s="160">
        <f t="shared" si="23"/>
        <v>10.7625</v>
      </c>
      <c r="L48" s="148"/>
    </row>
    <row r="49" spans="1:12" ht="21" customHeight="1">
      <c r="A49" s="146"/>
      <c r="B49" s="16" t="s">
        <v>99</v>
      </c>
      <c r="C49" s="155" t="s">
        <v>19</v>
      </c>
      <c r="D49" s="18">
        <f>MEDIAN(D26:D43)</f>
        <v>0.5</v>
      </c>
      <c r="E49" s="154">
        <f aca="true" t="shared" si="24" ref="E49:K49">MEDIAN(E26:E43)</f>
        <v>0.46</v>
      </c>
      <c r="F49" s="17">
        <f t="shared" si="24"/>
        <v>5.3</v>
      </c>
      <c r="G49" s="153">
        <f t="shared" si="24"/>
        <v>4.6</v>
      </c>
      <c r="H49" s="17">
        <f t="shared" si="24"/>
        <v>9.55</v>
      </c>
      <c r="I49" s="153">
        <f t="shared" si="24"/>
        <v>8.6</v>
      </c>
      <c r="J49" s="17">
        <f t="shared" si="24"/>
        <v>10.7</v>
      </c>
      <c r="K49" s="153">
        <f t="shared" si="24"/>
        <v>9.7</v>
      </c>
      <c r="L49" s="148"/>
    </row>
    <row r="50" spans="1:12" ht="21" customHeight="1">
      <c r="A50" s="146"/>
      <c r="B50" s="161"/>
      <c r="C50" s="156" t="s">
        <v>20</v>
      </c>
      <c r="D50" s="157">
        <f aca="true" t="shared" si="25" ref="D50:K50">AVERAGE(D26:D43)</f>
        <v>0.5923529411764707</v>
      </c>
      <c r="E50" s="158">
        <f t="shared" si="25"/>
        <v>0.5529411764705883</v>
      </c>
      <c r="F50" s="159">
        <f t="shared" si="25"/>
        <v>5.541176470588234</v>
      </c>
      <c r="G50" s="160">
        <f t="shared" si="25"/>
        <v>4.876470588235294</v>
      </c>
      <c r="H50" s="159">
        <f t="shared" si="25"/>
        <v>11.675000000000002</v>
      </c>
      <c r="I50" s="160">
        <f t="shared" si="25"/>
        <v>10.04375</v>
      </c>
      <c r="J50" s="159">
        <f t="shared" si="25"/>
        <v>-16.39411764705882</v>
      </c>
      <c r="K50" s="160">
        <f t="shared" si="25"/>
        <v>10.829411764705881</v>
      </c>
      <c r="L50" s="148"/>
    </row>
    <row r="51" spans="1:12" ht="21" customHeight="1">
      <c r="A51" s="146"/>
      <c r="B51" s="16" t="s">
        <v>100</v>
      </c>
      <c r="C51" s="155" t="s">
        <v>19</v>
      </c>
      <c r="D51" s="18">
        <f>+D23</f>
        <v>0.5</v>
      </c>
      <c r="E51" s="154">
        <f aca="true" t="shared" si="26" ref="E51:K52">+E23</f>
        <v>0.46499999999999997</v>
      </c>
      <c r="F51" s="17">
        <f t="shared" si="26"/>
        <v>5.199999999999999</v>
      </c>
      <c r="G51" s="153">
        <f t="shared" si="26"/>
        <v>4.6</v>
      </c>
      <c r="H51" s="17">
        <f t="shared" si="26"/>
        <v>9.4</v>
      </c>
      <c r="I51" s="153">
        <f t="shared" si="26"/>
        <v>8.6</v>
      </c>
      <c r="J51" s="17">
        <f t="shared" si="26"/>
        <v>10.899999999999999</v>
      </c>
      <c r="K51" s="153">
        <f t="shared" si="26"/>
        <v>9.85</v>
      </c>
      <c r="L51" s="148"/>
    </row>
    <row r="52" spans="1:12" ht="21" customHeight="1">
      <c r="A52" s="146"/>
      <c r="B52" s="161"/>
      <c r="C52" s="156" t="s">
        <v>20</v>
      </c>
      <c r="D52" s="157">
        <f>+D24</f>
        <v>0.5855555555555556</v>
      </c>
      <c r="E52" s="158">
        <f t="shared" si="26"/>
        <v>0.5483333333333333</v>
      </c>
      <c r="F52" s="159">
        <f t="shared" si="26"/>
        <v>5.433333333333334</v>
      </c>
      <c r="G52" s="160">
        <f t="shared" si="26"/>
        <v>4.794444444444443</v>
      </c>
      <c r="H52" s="159">
        <f t="shared" si="26"/>
        <v>11.447058823529416</v>
      </c>
      <c r="I52" s="160">
        <f t="shared" si="26"/>
        <v>9.899999999999999</v>
      </c>
      <c r="J52" s="159">
        <f t="shared" si="26"/>
        <v>-14.811111111111106</v>
      </c>
      <c r="K52" s="160">
        <f t="shared" si="26"/>
        <v>11.11111111111111</v>
      </c>
      <c r="L52" s="148"/>
    </row>
    <row r="53" spans="1:12" s="42" customFormat="1" ht="21" customHeight="1" thickBot="1">
      <c r="A53" s="150"/>
      <c r="B53" s="151"/>
      <c r="C53" s="151"/>
      <c r="D53" s="168"/>
      <c r="E53" s="168"/>
      <c r="F53" s="169"/>
      <c r="G53" s="169"/>
      <c r="H53" s="169"/>
      <c r="I53" s="169"/>
      <c r="J53" s="169"/>
      <c r="K53" s="169"/>
      <c r="L53" s="152"/>
    </row>
    <row r="54" spans="1:12" ht="21" customHeight="1" thickTop="1">
      <c r="A54" s="146"/>
      <c r="B54" s="16"/>
      <c r="C54" s="155" t="str">
        <f aca="true" t="shared" si="27" ref="C54:K54">+C4</f>
        <v>Beru</v>
      </c>
      <c r="D54" s="18">
        <f t="shared" si="27"/>
        <v>1.17</v>
      </c>
      <c r="E54" s="154">
        <f t="shared" si="27"/>
        <v>1.07</v>
      </c>
      <c r="F54" s="17">
        <f t="shared" si="27"/>
        <v>4.8</v>
      </c>
      <c r="G54" s="153">
        <f t="shared" si="27"/>
        <v>4.6</v>
      </c>
      <c r="H54" s="17">
        <f t="shared" si="27"/>
        <v>6.8</v>
      </c>
      <c r="I54" s="153">
        <f t="shared" si="27"/>
        <v>6.3</v>
      </c>
      <c r="J54" s="17">
        <f t="shared" si="27"/>
        <v>11.6</v>
      </c>
      <c r="K54" s="153">
        <f t="shared" si="27"/>
        <v>11.6</v>
      </c>
      <c r="L54" s="148"/>
    </row>
    <row r="55" spans="1:12" ht="21" customHeight="1">
      <c r="A55" s="146"/>
      <c r="B55" s="16"/>
      <c r="C55" s="155" t="str">
        <f aca="true" t="shared" si="28" ref="C55:K55">+C5</f>
        <v>Borgwarner</v>
      </c>
      <c r="D55" s="18">
        <f t="shared" si="28"/>
        <v>0.95</v>
      </c>
      <c r="E55" s="154">
        <f t="shared" si="28"/>
        <v>0.85</v>
      </c>
      <c r="F55" s="17">
        <f t="shared" si="28"/>
        <v>6.8</v>
      </c>
      <c r="G55" s="153">
        <f t="shared" si="28"/>
        <v>6.1</v>
      </c>
      <c r="H55" s="17">
        <f t="shared" si="28"/>
        <v>9.9</v>
      </c>
      <c r="I55" s="153">
        <f t="shared" si="28"/>
        <v>8.6</v>
      </c>
      <c r="J55" s="17">
        <f t="shared" si="28"/>
        <v>10.7</v>
      </c>
      <c r="K55" s="153">
        <f t="shared" si="28"/>
        <v>9.4</v>
      </c>
      <c r="L55" s="148"/>
    </row>
    <row r="56" spans="1:12" ht="21" customHeight="1">
      <c r="A56" s="146"/>
      <c r="B56" s="16"/>
      <c r="C56" s="155" t="str">
        <f aca="true" t="shared" si="29" ref="C56:K56">+C6</f>
        <v>Continental</v>
      </c>
      <c r="D56" s="18">
        <f t="shared" si="29"/>
        <v>0.51</v>
      </c>
      <c r="E56" s="154">
        <f t="shared" si="29"/>
        <v>0.49</v>
      </c>
      <c r="F56" s="17">
        <f t="shared" si="29"/>
        <v>4.6</v>
      </c>
      <c r="G56" s="153">
        <f t="shared" si="29"/>
        <v>4.3</v>
      </c>
      <c r="H56" s="17">
        <f t="shared" si="29"/>
        <v>9.7</v>
      </c>
      <c r="I56" s="153">
        <f t="shared" si="29"/>
        <v>8.7</v>
      </c>
      <c r="J56" s="17">
        <f t="shared" si="29"/>
        <v>8.3</v>
      </c>
      <c r="K56" s="153">
        <f t="shared" si="29"/>
        <v>6.9</v>
      </c>
      <c r="L56" s="148"/>
    </row>
    <row r="57" spans="1:12" ht="21" customHeight="1">
      <c r="A57" s="146"/>
      <c r="B57" s="16"/>
      <c r="C57" s="155" t="str">
        <f aca="true" t="shared" si="30" ref="C57:K57">+C7</f>
        <v>Cummins</v>
      </c>
      <c r="D57" s="18">
        <f t="shared" si="30"/>
        <v>0.47</v>
      </c>
      <c r="E57" s="154">
        <f t="shared" si="30"/>
        <v>0.43</v>
      </c>
      <c r="F57" s="17">
        <f t="shared" si="30"/>
        <v>8.2</v>
      </c>
      <c r="G57" s="153">
        <f t="shared" si="30"/>
        <v>6.6</v>
      </c>
      <c r="H57" s="17"/>
      <c r="I57" s="153"/>
      <c r="J57" s="17"/>
      <c r="K57" s="153">
        <f t="shared" si="30"/>
        <v>13.2</v>
      </c>
      <c r="L57" s="148"/>
    </row>
    <row r="58" spans="1:12" ht="21" customHeight="1">
      <c r="A58" s="146"/>
      <c r="B58" s="16"/>
      <c r="C58" s="155" t="str">
        <f aca="true" t="shared" si="31" ref="C58:K58">+C8</f>
        <v>Dana</v>
      </c>
      <c r="D58" s="18">
        <f t="shared" si="31"/>
        <v>0.49</v>
      </c>
      <c r="E58" s="154">
        <f t="shared" si="31"/>
        <v>0.46</v>
      </c>
      <c r="F58" s="17">
        <f t="shared" si="31"/>
        <v>6.2</v>
      </c>
      <c r="G58" s="153">
        <f t="shared" si="31"/>
        <v>4.9</v>
      </c>
      <c r="H58" s="17">
        <f t="shared" si="31"/>
        <v>12.9</v>
      </c>
      <c r="I58" s="153">
        <f t="shared" si="31"/>
        <v>9.8</v>
      </c>
      <c r="J58" s="17">
        <f t="shared" si="31"/>
        <v>14.3</v>
      </c>
      <c r="K58" s="153">
        <f t="shared" si="31"/>
        <v>10</v>
      </c>
      <c r="L58" s="148"/>
    </row>
    <row r="59" spans="1:12" ht="21" customHeight="1">
      <c r="A59" s="146"/>
      <c r="B59" s="16"/>
      <c r="C59" s="155" t="str">
        <f aca="true" t="shared" si="32" ref="C59:K59">+C9</f>
        <v>Delphi</v>
      </c>
      <c r="D59" s="18">
        <f t="shared" si="32"/>
        <v>0.5</v>
      </c>
      <c r="E59" s="154">
        <f t="shared" si="32"/>
        <v>0.49</v>
      </c>
      <c r="F59" s="17">
        <f t="shared" si="32"/>
        <v>6.9</v>
      </c>
      <c r="G59" s="153">
        <f t="shared" si="32"/>
        <v>6</v>
      </c>
      <c r="H59" s="17">
        <f t="shared" si="32"/>
        <v>14.5</v>
      </c>
      <c r="I59" s="153">
        <f t="shared" si="32"/>
        <v>13.1</v>
      </c>
      <c r="J59" s="17">
        <f t="shared" si="32"/>
        <v>10.7</v>
      </c>
      <c r="K59" s="153">
        <f t="shared" si="32"/>
        <v>8</v>
      </c>
      <c r="L59" s="148"/>
    </row>
    <row r="60" spans="1:12" ht="21" customHeight="1">
      <c r="A60" s="146"/>
      <c r="B60" s="16"/>
      <c r="C60" s="155" t="str">
        <f aca="true" t="shared" si="33" ref="C60:K60">+C10</f>
        <v>Denso</v>
      </c>
      <c r="D60" s="18">
        <f t="shared" si="33"/>
        <v>0.47</v>
      </c>
      <c r="E60" s="154">
        <f t="shared" si="33"/>
        <v>0.47</v>
      </c>
      <c r="F60" s="17">
        <f t="shared" si="33"/>
        <v>3.6</v>
      </c>
      <c r="G60" s="153">
        <f t="shared" si="33"/>
        <v>3.4</v>
      </c>
      <c r="H60" s="17">
        <f t="shared" si="33"/>
        <v>7.8</v>
      </c>
      <c r="I60" s="153">
        <f t="shared" si="33"/>
        <v>7.6</v>
      </c>
      <c r="J60" s="17">
        <f t="shared" si="33"/>
        <v>12.1</v>
      </c>
      <c r="K60" s="153">
        <f t="shared" si="33"/>
        <v>15.9</v>
      </c>
      <c r="L60" s="148"/>
    </row>
    <row r="61" spans="1:12" ht="21" customHeight="1">
      <c r="A61" s="146"/>
      <c r="B61" s="16"/>
      <c r="C61" s="155" t="str">
        <f aca="true" t="shared" si="34" ref="C61:K61">+C11</f>
        <v>Eaton</v>
      </c>
      <c r="D61" s="18">
        <f t="shared" si="34"/>
        <v>1.09</v>
      </c>
      <c r="E61" s="154">
        <f t="shared" si="34"/>
        <v>1.05</v>
      </c>
      <c r="F61" s="17">
        <f t="shared" si="34"/>
        <v>9.1</v>
      </c>
      <c r="G61" s="153">
        <f t="shared" si="34"/>
        <v>8</v>
      </c>
      <c r="H61" s="17"/>
      <c r="I61" s="153"/>
      <c r="J61" s="17">
        <f t="shared" si="34"/>
        <v>17</v>
      </c>
      <c r="K61" s="153">
        <f t="shared" si="34"/>
        <v>12.8</v>
      </c>
      <c r="L61" s="148"/>
    </row>
    <row r="62" spans="1:12" ht="21" customHeight="1">
      <c r="A62" s="146"/>
      <c r="B62" s="16"/>
      <c r="C62" s="155" t="str">
        <f aca="true" t="shared" si="35" ref="C62:K62">+C12</f>
        <v>Edscha</v>
      </c>
      <c r="D62" s="18">
        <f t="shared" si="35"/>
        <v>0.52</v>
      </c>
      <c r="E62" s="154">
        <f t="shared" si="35"/>
        <v>0.45</v>
      </c>
      <c r="F62" s="17">
        <f t="shared" si="35"/>
        <v>4.4</v>
      </c>
      <c r="G62" s="153">
        <f t="shared" si="35"/>
        <v>3.9</v>
      </c>
      <c r="H62" s="17">
        <f t="shared" si="35"/>
        <v>7.1</v>
      </c>
      <c r="I62" s="153">
        <f t="shared" si="35"/>
        <v>6.5</v>
      </c>
      <c r="J62" s="17">
        <f t="shared" si="35"/>
        <v>9.3</v>
      </c>
      <c r="K62" s="153">
        <f t="shared" si="35"/>
        <v>7.5</v>
      </c>
      <c r="L62" s="148"/>
    </row>
    <row r="63" spans="1:12" ht="21" customHeight="1">
      <c r="A63" s="146"/>
      <c r="B63" s="16"/>
      <c r="C63" s="155" t="str">
        <f aca="true" t="shared" si="36" ref="C63:K63">+C13</f>
        <v>Faurecia</v>
      </c>
      <c r="D63" s="18">
        <f t="shared" si="36"/>
        <v>0.31</v>
      </c>
      <c r="E63" s="154">
        <f t="shared" si="36"/>
        <v>0.29</v>
      </c>
      <c r="F63" s="17">
        <f t="shared" si="36"/>
        <v>5.4</v>
      </c>
      <c r="G63" s="153">
        <f t="shared" si="36"/>
        <v>4.6</v>
      </c>
      <c r="H63" s="17">
        <f t="shared" si="36"/>
        <v>12.6</v>
      </c>
      <c r="I63" s="153">
        <f t="shared" si="36"/>
        <v>9.3</v>
      </c>
      <c r="J63" s="17"/>
      <c r="K63" s="153">
        <f t="shared" si="36"/>
        <v>24</v>
      </c>
      <c r="L63" s="148"/>
    </row>
    <row r="64" spans="1:12" ht="21" customHeight="1">
      <c r="A64" s="146"/>
      <c r="B64" s="16"/>
      <c r="C64" s="155" t="str">
        <f>+C14</f>
        <v>Grammer</v>
      </c>
      <c r="D64" s="18"/>
      <c r="E64" s="154"/>
      <c r="F64" s="17"/>
      <c r="G64" s="153"/>
      <c r="H64" s="17"/>
      <c r="I64" s="153"/>
      <c r="J64" s="17"/>
      <c r="K64" s="153"/>
      <c r="L64" s="148"/>
    </row>
    <row r="65" spans="1:12" ht="21" customHeight="1">
      <c r="A65" s="146"/>
      <c r="B65" s="16"/>
      <c r="C65" s="155" t="str">
        <f aca="true" t="shared" si="37" ref="C65:K65">+C15</f>
        <v>Kolbenschmidt Pierburg</v>
      </c>
      <c r="D65" s="18">
        <f t="shared" si="37"/>
        <v>0.42</v>
      </c>
      <c r="E65" s="154">
        <f t="shared" si="37"/>
        <v>0.41</v>
      </c>
      <c r="F65" s="17">
        <f t="shared" si="37"/>
        <v>3.4</v>
      </c>
      <c r="G65" s="153">
        <f t="shared" si="37"/>
        <v>3.2</v>
      </c>
      <c r="H65" s="17">
        <f t="shared" si="37"/>
        <v>9.4</v>
      </c>
      <c r="I65" s="153">
        <f t="shared" si="37"/>
        <v>8.6</v>
      </c>
      <c r="J65" s="17">
        <f t="shared" si="37"/>
        <v>9.8</v>
      </c>
      <c r="K65" s="153">
        <f t="shared" si="37"/>
        <v>7</v>
      </c>
      <c r="L65" s="148"/>
    </row>
    <row r="66" spans="1:12" ht="21" customHeight="1">
      <c r="A66" s="146"/>
      <c r="B66" s="16"/>
      <c r="C66" s="155" t="str">
        <f aca="true" t="shared" si="38" ref="C66:K66">+C16</f>
        <v>Lear</v>
      </c>
      <c r="D66" s="18">
        <f t="shared" si="38"/>
        <v>0.37</v>
      </c>
      <c r="E66" s="154">
        <f t="shared" si="38"/>
        <v>0.35</v>
      </c>
      <c r="F66" s="17">
        <f t="shared" si="38"/>
        <v>5.3</v>
      </c>
      <c r="G66" s="153">
        <f t="shared" si="38"/>
        <v>4.9</v>
      </c>
      <c r="H66" s="17">
        <f t="shared" si="38"/>
        <v>7.2</v>
      </c>
      <c r="I66" s="153">
        <f t="shared" si="38"/>
        <v>7.2</v>
      </c>
      <c r="J66" s="17">
        <f t="shared" si="38"/>
        <v>10.6</v>
      </c>
      <c r="K66" s="153">
        <f t="shared" si="38"/>
        <v>9.1</v>
      </c>
      <c r="L66" s="148"/>
    </row>
    <row r="67" spans="1:12" ht="21" customHeight="1">
      <c r="A67" s="146"/>
      <c r="B67" s="16"/>
      <c r="C67" s="155" t="str">
        <f aca="true" t="shared" si="39" ref="C67:K67">+C17</f>
        <v>Magna</v>
      </c>
      <c r="D67" s="18">
        <f t="shared" si="39"/>
        <v>0.5</v>
      </c>
      <c r="E67" s="154">
        <f t="shared" si="39"/>
        <v>0.43</v>
      </c>
      <c r="F67" s="17">
        <f t="shared" si="39"/>
        <v>4.4</v>
      </c>
      <c r="G67" s="153">
        <f t="shared" si="39"/>
        <v>3.6</v>
      </c>
      <c r="H67" s="17">
        <f t="shared" si="39"/>
        <v>6.3</v>
      </c>
      <c r="I67" s="153">
        <f t="shared" si="39"/>
        <v>5.4</v>
      </c>
      <c r="J67" s="17">
        <f t="shared" si="39"/>
        <v>10.7</v>
      </c>
      <c r="K67" s="153">
        <f t="shared" si="39"/>
        <v>9.7</v>
      </c>
      <c r="L67" s="148"/>
    </row>
    <row r="68" spans="1:12" ht="21" customHeight="1">
      <c r="A68" s="146"/>
      <c r="B68" s="16"/>
      <c r="C68" s="155" t="str">
        <f aca="true" t="shared" si="40" ref="C68:K68">+C18</f>
        <v>Michelin</v>
      </c>
      <c r="D68" s="18">
        <f t="shared" si="40"/>
        <v>0.8</v>
      </c>
      <c r="E68" s="154">
        <f t="shared" si="40"/>
        <v>0.78</v>
      </c>
      <c r="F68" s="17">
        <f t="shared" si="40"/>
        <v>6.1</v>
      </c>
      <c r="G68" s="153">
        <f t="shared" si="40"/>
        <v>5.6</v>
      </c>
      <c r="H68" s="17">
        <f t="shared" si="40"/>
        <v>11.3</v>
      </c>
      <c r="I68" s="153">
        <f t="shared" si="40"/>
        <v>9.8</v>
      </c>
      <c r="J68" s="17">
        <f t="shared" si="40"/>
        <v>11.1</v>
      </c>
      <c r="K68" s="153">
        <f t="shared" si="40"/>
        <v>8.6</v>
      </c>
      <c r="L68" s="148"/>
    </row>
    <row r="69" spans="1:12" ht="21" customHeight="1">
      <c r="A69" s="146"/>
      <c r="B69" s="16"/>
      <c r="C69" s="155" t="str">
        <f aca="true" t="shared" si="41" ref="C69:K69">+C19</f>
        <v>TRW</v>
      </c>
      <c r="D69" s="18">
        <f t="shared" si="41"/>
        <v>0.56</v>
      </c>
      <c r="E69" s="154">
        <f t="shared" si="41"/>
        <v>0.53</v>
      </c>
      <c r="F69" s="17">
        <f t="shared" si="41"/>
        <v>5.6</v>
      </c>
      <c r="G69" s="153">
        <f t="shared" si="41"/>
        <v>5.2</v>
      </c>
      <c r="H69" s="17">
        <f t="shared" si="41"/>
        <v>9.3</v>
      </c>
      <c r="I69" s="153">
        <f t="shared" si="41"/>
        <v>8.2</v>
      </c>
      <c r="J69" s="17">
        <f t="shared" si="41"/>
        <v>16</v>
      </c>
      <c r="K69" s="153">
        <f t="shared" si="41"/>
        <v>13.8</v>
      </c>
      <c r="L69" s="148"/>
    </row>
    <row r="70" spans="1:12" ht="21" customHeight="1">
      <c r="A70" s="146"/>
      <c r="B70" s="16"/>
      <c r="C70" s="155" t="str">
        <f aca="true" t="shared" si="42" ref="C70:K70">+C20</f>
        <v>Valeo</v>
      </c>
      <c r="D70" s="18">
        <f t="shared" si="42"/>
        <v>0.44</v>
      </c>
      <c r="E70" s="154">
        <f t="shared" si="42"/>
        <v>0.42</v>
      </c>
      <c r="F70" s="17">
        <f t="shared" si="42"/>
        <v>4.2</v>
      </c>
      <c r="G70" s="153">
        <f t="shared" si="42"/>
        <v>3.8</v>
      </c>
      <c r="H70" s="17">
        <f t="shared" si="42"/>
        <v>9.3</v>
      </c>
      <c r="I70" s="153">
        <f t="shared" si="42"/>
        <v>7.6</v>
      </c>
      <c r="J70" s="17">
        <f t="shared" si="42"/>
        <v>17.8</v>
      </c>
      <c r="K70" s="153">
        <f t="shared" si="42"/>
        <v>12.8</v>
      </c>
      <c r="L70" s="148"/>
    </row>
    <row r="71" spans="1:12" ht="21" customHeight="1">
      <c r="A71" s="146"/>
      <c r="B71" s="16"/>
      <c r="C71" s="155" t="str">
        <f aca="true" t="shared" si="43" ref="C71:K71">+C21</f>
        <v>Visteon</v>
      </c>
      <c r="D71" s="18">
        <f t="shared" si="43"/>
        <v>0.22</v>
      </c>
      <c r="E71" s="154">
        <f t="shared" si="43"/>
        <v>0.22</v>
      </c>
      <c r="F71" s="17">
        <f t="shared" si="43"/>
        <v>5.1</v>
      </c>
      <c r="G71" s="153">
        <f t="shared" si="43"/>
        <v>4.1</v>
      </c>
      <c r="H71" s="17">
        <f t="shared" si="43"/>
        <v>20.3</v>
      </c>
      <c r="I71" s="153">
        <f t="shared" si="43"/>
        <v>16.1</v>
      </c>
      <c r="J71" s="17">
        <f t="shared" si="43"/>
        <v>22.6</v>
      </c>
      <c r="K71" s="153">
        <f t="shared" si="43"/>
        <v>12</v>
      </c>
      <c r="L71" s="148"/>
    </row>
    <row r="72" spans="1:12" ht="21" customHeight="1">
      <c r="A72" s="146"/>
      <c r="B72" s="161"/>
      <c r="C72" s="156" t="str">
        <f aca="true" t="shared" si="44" ref="C72:K72">+C22</f>
        <v>WET Automotive</v>
      </c>
      <c r="D72" s="157">
        <f t="shared" si="44"/>
        <v>0.75</v>
      </c>
      <c r="E72" s="158">
        <f t="shared" si="44"/>
        <v>0.68</v>
      </c>
      <c r="F72" s="159">
        <f t="shared" si="44"/>
        <v>3.7</v>
      </c>
      <c r="G72" s="160">
        <f t="shared" si="44"/>
        <v>3.5</v>
      </c>
      <c r="H72" s="159">
        <f t="shared" si="44"/>
        <v>5.3</v>
      </c>
      <c r="I72" s="160">
        <f t="shared" si="44"/>
        <v>4.8</v>
      </c>
      <c r="J72" s="159">
        <f t="shared" si="44"/>
        <v>8.4</v>
      </c>
      <c r="K72" s="160">
        <f t="shared" si="44"/>
        <v>7.7</v>
      </c>
      <c r="L72" s="148"/>
    </row>
    <row r="73" spans="1:12" ht="21" customHeight="1">
      <c r="A73" s="146"/>
      <c r="B73" s="16" t="s">
        <v>128</v>
      </c>
      <c r="C73" s="155"/>
      <c r="D73" s="18">
        <f aca="true" t="shared" si="45" ref="D73:K73">MEDIAN(D54:D72)</f>
        <v>0.5</v>
      </c>
      <c r="E73" s="154">
        <f t="shared" si="45"/>
        <v>0.46499999999999997</v>
      </c>
      <c r="F73" s="17">
        <f t="shared" si="45"/>
        <v>5.199999999999999</v>
      </c>
      <c r="G73" s="153">
        <f t="shared" si="45"/>
        <v>4.6</v>
      </c>
      <c r="H73" s="17">
        <f t="shared" si="45"/>
        <v>9.350000000000001</v>
      </c>
      <c r="I73" s="153">
        <f t="shared" si="45"/>
        <v>8.399999999999999</v>
      </c>
      <c r="J73" s="17">
        <f t="shared" si="45"/>
        <v>10.899999999999999</v>
      </c>
      <c r="K73" s="153">
        <f t="shared" si="45"/>
        <v>9.85</v>
      </c>
      <c r="L73" s="148"/>
    </row>
    <row r="74" spans="1:12" ht="21" customHeight="1">
      <c r="A74" s="146"/>
      <c r="B74" s="161" t="s">
        <v>129</v>
      </c>
      <c r="C74" s="156"/>
      <c r="D74" s="157">
        <f>AVERAGE(D54:D72)</f>
        <v>0.5855555555555556</v>
      </c>
      <c r="E74" s="158">
        <f aca="true" t="shared" si="46" ref="E74:K74">AVERAGE(E54:E72)</f>
        <v>0.5483333333333333</v>
      </c>
      <c r="F74" s="159">
        <f t="shared" si="46"/>
        <v>5.433333333333334</v>
      </c>
      <c r="G74" s="160">
        <f t="shared" si="46"/>
        <v>4.794444444444443</v>
      </c>
      <c r="H74" s="159">
        <f t="shared" si="46"/>
        <v>9.981250000000001</v>
      </c>
      <c r="I74" s="160">
        <f t="shared" si="46"/>
        <v>8.600000000000001</v>
      </c>
      <c r="J74" s="159">
        <f t="shared" si="46"/>
        <v>12.5625</v>
      </c>
      <c r="K74" s="160">
        <f t="shared" si="46"/>
        <v>11.11111111111111</v>
      </c>
      <c r="L74" s="148"/>
    </row>
    <row r="75" spans="1:12" ht="21" customHeight="1" thickBot="1">
      <c r="A75" s="150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2"/>
    </row>
    <row r="76" ht="21" customHeight="1" thickTop="1"/>
  </sheetData>
  <sheetProtection/>
  <mergeCells count="4">
    <mergeCell ref="D2:E2"/>
    <mergeCell ref="F2:G2"/>
    <mergeCell ref="H2:I2"/>
    <mergeCell ref="J2:K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0"/>
  <rowBreaks count="2" manualBreakCount="2">
    <brk id="25" max="255" man="1"/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11.57421875" defaultRowHeight="21" customHeight="1"/>
  <cols>
    <col min="1" max="1" width="2.7109375" style="50" customWidth="1"/>
    <col min="2" max="5" width="11.421875" style="50" customWidth="1"/>
    <col min="6" max="6" width="2.7109375" style="50" customWidth="1"/>
    <col min="7" max="12" width="11.421875" style="50" customWidth="1"/>
    <col min="13" max="13" width="2.7109375" style="50" customWidth="1"/>
    <col min="14" max="16384" width="11.421875" style="50" customWidth="1"/>
  </cols>
  <sheetData>
    <row r="1" spans="1:13" ht="21" customHeight="1" thickTop="1">
      <c r="A1" s="97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21" customHeight="1">
      <c r="A2" s="100"/>
      <c r="B2" s="88" t="s">
        <v>80</v>
      </c>
      <c r="C2" s="284" t="s">
        <v>103</v>
      </c>
      <c r="D2" s="284"/>
      <c r="E2" s="89"/>
      <c r="F2" s="89"/>
      <c r="G2" s="284" t="s">
        <v>106</v>
      </c>
      <c r="H2" s="284"/>
      <c r="I2" s="90"/>
      <c r="J2" s="284" t="s">
        <v>44</v>
      </c>
      <c r="K2" s="89"/>
      <c r="L2" s="282" t="s">
        <v>118</v>
      </c>
      <c r="M2" s="101"/>
    </row>
    <row r="3" spans="1:13" ht="21" customHeight="1">
      <c r="A3" s="100"/>
      <c r="B3" s="91"/>
      <c r="C3" s="285"/>
      <c r="D3" s="285"/>
      <c r="E3" s="92"/>
      <c r="F3" s="92"/>
      <c r="G3" s="285"/>
      <c r="H3" s="285"/>
      <c r="I3" s="93"/>
      <c r="J3" s="285"/>
      <c r="K3" s="92"/>
      <c r="L3" s="283"/>
      <c r="M3" s="101"/>
    </row>
    <row r="4" spans="1:13" ht="21" customHeight="1">
      <c r="A4" s="100"/>
      <c r="B4" s="77">
        <v>2002</v>
      </c>
      <c r="C4" s="53" t="s">
        <v>101</v>
      </c>
      <c r="D4" s="78">
        <v>1522.1</v>
      </c>
      <c r="E4" s="78"/>
      <c r="F4" s="78"/>
      <c r="G4" s="79" t="s">
        <v>57</v>
      </c>
      <c r="H4" s="80">
        <f>ROUND('PG-Multiplikatoren Gruppierung'!D45,2)</f>
        <v>0.52</v>
      </c>
      <c r="I4" s="81" t="s">
        <v>77</v>
      </c>
      <c r="J4" s="82">
        <f aca="true" t="shared" si="0" ref="J4:J9">ROUND(+D4*H4,1)</f>
        <v>791.5</v>
      </c>
      <c r="K4" s="52"/>
      <c r="L4" s="83">
        <f aca="true" t="shared" si="1" ref="L4:L9">+J4-$G$30</f>
        <v>579.1</v>
      </c>
      <c r="M4" s="101"/>
    </row>
    <row r="5" spans="1:13" ht="21" customHeight="1">
      <c r="A5" s="100"/>
      <c r="B5" s="58">
        <v>2003</v>
      </c>
      <c r="C5" s="59"/>
      <c r="D5" s="60">
        <v>1570.8</v>
      </c>
      <c r="E5" s="60"/>
      <c r="F5" s="60"/>
      <c r="G5" s="84"/>
      <c r="H5" s="85">
        <f>ROUND('PG-Multiplikatoren Gruppierung'!E45,2)</f>
        <v>0.49</v>
      </c>
      <c r="I5" s="61" t="s">
        <v>77</v>
      </c>
      <c r="J5" s="86">
        <f t="shared" si="0"/>
        <v>769.7</v>
      </c>
      <c r="K5" s="62"/>
      <c r="L5" s="64">
        <f t="shared" si="1"/>
        <v>557.3000000000001</v>
      </c>
      <c r="M5" s="101"/>
    </row>
    <row r="6" spans="1:13" ht="21" customHeight="1">
      <c r="A6" s="100"/>
      <c r="B6" s="77">
        <v>2002</v>
      </c>
      <c r="C6" s="53" t="s">
        <v>25</v>
      </c>
      <c r="D6" s="78">
        <v>128</v>
      </c>
      <c r="E6" s="78"/>
      <c r="F6" s="78"/>
      <c r="G6" s="79" t="s">
        <v>58</v>
      </c>
      <c r="H6" s="53">
        <f>ROUND('PG-Multiplikatoren Gruppierung'!F45,1)</f>
        <v>4.4</v>
      </c>
      <c r="I6" s="81" t="s">
        <v>77</v>
      </c>
      <c r="J6" s="82">
        <f t="shared" si="0"/>
        <v>563.2</v>
      </c>
      <c r="K6" s="52"/>
      <c r="L6" s="83">
        <f t="shared" si="1"/>
        <v>350.80000000000007</v>
      </c>
      <c r="M6" s="101"/>
    </row>
    <row r="7" spans="1:13" ht="21" customHeight="1">
      <c r="A7" s="100"/>
      <c r="B7" s="58">
        <v>2003</v>
      </c>
      <c r="C7" s="59"/>
      <c r="D7" s="60">
        <v>138.3</v>
      </c>
      <c r="E7" s="60"/>
      <c r="F7" s="60"/>
      <c r="G7" s="59"/>
      <c r="H7" s="59">
        <f>ROUND(+'PG-Multiplikatoren Gruppierung'!G45,1)</f>
        <v>3.9</v>
      </c>
      <c r="I7" s="61" t="s">
        <v>77</v>
      </c>
      <c r="J7" s="86">
        <f t="shared" si="0"/>
        <v>539.4</v>
      </c>
      <c r="K7" s="62"/>
      <c r="L7" s="64">
        <f t="shared" si="1"/>
        <v>327</v>
      </c>
      <c r="M7" s="101"/>
    </row>
    <row r="8" spans="1:13" ht="21" customHeight="1">
      <c r="A8" s="100"/>
      <c r="B8" s="77">
        <v>2002</v>
      </c>
      <c r="C8" s="53" t="s">
        <v>26</v>
      </c>
      <c r="D8" s="78">
        <v>53</v>
      </c>
      <c r="E8" s="78"/>
      <c r="F8" s="78"/>
      <c r="G8" s="53" t="s">
        <v>59</v>
      </c>
      <c r="H8" s="53">
        <f>ROUND('PG-Multiplikatoren Gruppierung'!H45,1)</f>
        <v>7.1</v>
      </c>
      <c r="I8" s="81" t="s">
        <v>77</v>
      </c>
      <c r="J8" s="82">
        <f t="shared" si="0"/>
        <v>376.3</v>
      </c>
      <c r="K8" s="52"/>
      <c r="L8" s="83">
        <f t="shared" si="1"/>
        <v>163.9</v>
      </c>
      <c r="M8" s="101"/>
    </row>
    <row r="9" spans="1:13" ht="21" customHeight="1">
      <c r="A9" s="100"/>
      <c r="B9" s="58">
        <v>2003</v>
      </c>
      <c r="C9" s="59"/>
      <c r="D9" s="60">
        <v>59.6</v>
      </c>
      <c r="E9" s="60"/>
      <c r="F9" s="60"/>
      <c r="G9" s="59"/>
      <c r="H9" s="59">
        <f>ROUND('PG-Multiplikatoren Gruppierung'!I45,1)</f>
        <v>6.5</v>
      </c>
      <c r="I9" s="61" t="s">
        <v>77</v>
      </c>
      <c r="J9" s="86">
        <f t="shared" si="0"/>
        <v>387.4</v>
      </c>
      <c r="K9" s="62"/>
      <c r="L9" s="64">
        <f t="shared" si="1"/>
        <v>174.99999999999997</v>
      </c>
      <c r="M9" s="101"/>
    </row>
    <row r="10" spans="1:13" ht="21" customHeight="1">
      <c r="A10" s="100"/>
      <c r="B10" s="77">
        <v>2002</v>
      </c>
      <c r="C10" s="53" t="s">
        <v>66</v>
      </c>
      <c r="D10" s="78">
        <v>27</v>
      </c>
      <c r="E10" s="78"/>
      <c r="F10" s="78"/>
      <c r="G10" s="53" t="s">
        <v>60</v>
      </c>
      <c r="H10" s="53">
        <f>ROUND('PG-Multiplikatoren Gruppierung'!J45,1)</f>
        <v>9.3</v>
      </c>
      <c r="I10" s="81"/>
      <c r="J10" s="52"/>
      <c r="K10" s="87" t="s">
        <v>77</v>
      </c>
      <c r="L10" s="83">
        <f>ROUND(+H10*D10,1)</f>
        <v>251.1</v>
      </c>
      <c r="M10" s="101"/>
    </row>
    <row r="11" spans="1:13" ht="21" customHeight="1">
      <c r="A11" s="100"/>
      <c r="B11" s="58">
        <v>2003</v>
      </c>
      <c r="C11" s="59"/>
      <c r="D11" s="60">
        <v>32</v>
      </c>
      <c r="E11" s="60"/>
      <c r="F11" s="60"/>
      <c r="G11" s="59"/>
      <c r="H11" s="59">
        <f>ROUND('PG-Multiplikatoren Gruppierung'!K45,1)</f>
        <v>7.5</v>
      </c>
      <c r="I11" s="61"/>
      <c r="J11" s="62"/>
      <c r="K11" s="63" t="s">
        <v>77</v>
      </c>
      <c r="L11" s="64">
        <f>ROUND(+H11*D11,1)</f>
        <v>240</v>
      </c>
      <c r="M11" s="101"/>
    </row>
    <row r="12" spans="1:13" s="44" customFormat="1" ht="21" customHeight="1">
      <c r="A12" s="100"/>
      <c r="B12" s="4"/>
      <c r="C12" s="4"/>
      <c r="D12" s="4"/>
      <c r="E12" s="4"/>
      <c r="F12" s="4"/>
      <c r="G12" s="4"/>
      <c r="H12" s="4"/>
      <c r="I12" s="4"/>
      <c r="J12" s="14"/>
      <c r="K12" s="14"/>
      <c r="L12" s="14"/>
      <c r="M12" s="101"/>
    </row>
    <row r="13" spans="1:13" ht="21" customHeight="1">
      <c r="A13" s="100"/>
      <c r="B13" s="88" t="s">
        <v>80</v>
      </c>
      <c r="C13" s="284" t="s">
        <v>103</v>
      </c>
      <c r="D13" s="284"/>
      <c r="E13" s="89"/>
      <c r="F13" s="89"/>
      <c r="G13" s="284" t="s">
        <v>107</v>
      </c>
      <c r="H13" s="284"/>
      <c r="I13" s="90"/>
      <c r="J13" s="284" t="s">
        <v>44</v>
      </c>
      <c r="K13" s="89"/>
      <c r="L13" s="282" t="s">
        <v>118</v>
      </c>
      <c r="M13" s="101"/>
    </row>
    <row r="14" spans="1:13" ht="21" customHeight="1">
      <c r="A14" s="100"/>
      <c r="B14" s="91"/>
      <c r="C14" s="285"/>
      <c r="D14" s="285"/>
      <c r="E14" s="92"/>
      <c r="F14" s="92"/>
      <c r="G14" s="285"/>
      <c r="H14" s="285"/>
      <c r="I14" s="93"/>
      <c r="J14" s="285"/>
      <c r="K14" s="92"/>
      <c r="L14" s="283"/>
      <c r="M14" s="101"/>
    </row>
    <row r="15" spans="1:13" ht="21" customHeight="1">
      <c r="A15" s="100"/>
      <c r="B15" s="77">
        <v>2002</v>
      </c>
      <c r="C15" s="53" t="s">
        <v>101</v>
      </c>
      <c r="D15" s="78">
        <v>1522.1</v>
      </c>
      <c r="E15" s="78"/>
      <c r="F15" s="78"/>
      <c r="G15" s="79" t="s">
        <v>57</v>
      </c>
      <c r="H15" s="80">
        <f>ROUND('PG-Multiplikatoren Gruppierung'!D49,2)</f>
        <v>0.5</v>
      </c>
      <c r="I15" s="81" t="s">
        <v>77</v>
      </c>
      <c r="J15" s="82">
        <f aca="true" t="shared" si="2" ref="J15:J20">ROUND(+D15*H15,1)</f>
        <v>761.1</v>
      </c>
      <c r="K15" s="52"/>
      <c r="L15" s="83">
        <f aca="true" t="shared" si="3" ref="L15:L20">+J15-$G$30</f>
        <v>548.7</v>
      </c>
      <c r="M15" s="101"/>
    </row>
    <row r="16" spans="1:13" ht="21" customHeight="1">
      <c r="A16" s="100"/>
      <c r="B16" s="58">
        <v>2003</v>
      </c>
      <c r="C16" s="59"/>
      <c r="D16" s="60">
        <v>1570.8</v>
      </c>
      <c r="E16" s="60"/>
      <c r="F16" s="60"/>
      <c r="G16" s="84"/>
      <c r="H16" s="85">
        <f>ROUND('PG-Multiplikatoren Gruppierung'!E49,2)</f>
        <v>0.46</v>
      </c>
      <c r="I16" s="61" t="s">
        <v>77</v>
      </c>
      <c r="J16" s="86">
        <f t="shared" si="2"/>
        <v>722.6</v>
      </c>
      <c r="K16" s="62"/>
      <c r="L16" s="64">
        <f t="shared" si="3"/>
        <v>510.20000000000005</v>
      </c>
      <c r="M16" s="101"/>
    </row>
    <row r="17" spans="1:13" ht="21" customHeight="1">
      <c r="A17" s="100"/>
      <c r="B17" s="77">
        <v>2002</v>
      </c>
      <c r="C17" s="53" t="s">
        <v>25</v>
      </c>
      <c r="D17" s="78">
        <v>128</v>
      </c>
      <c r="E17" s="78"/>
      <c r="F17" s="78"/>
      <c r="G17" s="79" t="s">
        <v>58</v>
      </c>
      <c r="H17" s="78">
        <f>ROUND('PG-Multiplikatoren Gruppierung'!F49,1)</f>
        <v>5.3</v>
      </c>
      <c r="I17" s="81" t="s">
        <v>77</v>
      </c>
      <c r="J17" s="82">
        <f t="shared" si="2"/>
        <v>678.4</v>
      </c>
      <c r="K17" s="52"/>
      <c r="L17" s="83">
        <f t="shared" si="3"/>
        <v>466</v>
      </c>
      <c r="M17" s="101"/>
    </row>
    <row r="18" spans="1:13" ht="21" customHeight="1">
      <c r="A18" s="100"/>
      <c r="B18" s="58">
        <v>2003</v>
      </c>
      <c r="C18" s="59"/>
      <c r="D18" s="60">
        <v>138.3</v>
      </c>
      <c r="E18" s="60"/>
      <c r="F18" s="60"/>
      <c r="G18" s="59"/>
      <c r="H18" s="60">
        <f>ROUND('PG-Multiplikatoren Gruppierung'!G49,1)</f>
        <v>4.6</v>
      </c>
      <c r="I18" s="61" t="s">
        <v>77</v>
      </c>
      <c r="J18" s="86">
        <f t="shared" si="2"/>
        <v>636.2</v>
      </c>
      <c r="K18" s="62"/>
      <c r="L18" s="64">
        <f t="shared" si="3"/>
        <v>423.80000000000007</v>
      </c>
      <c r="M18" s="101"/>
    </row>
    <row r="19" spans="1:13" ht="21" customHeight="1">
      <c r="A19" s="100"/>
      <c r="B19" s="77">
        <v>2002</v>
      </c>
      <c r="C19" s="53" t="s">
        <v>26</v>
      </c>
      <c r="D19" s="78">
        <v>53</v>
      </c>
      <c r="E19" s="78"/>
      <c r="F19" s="78"/>
      <c r="G19" s="53" t="s">
        <v>59</v>
      </c>
      <c r="H19" s="78">
        <f>ROUND('PG-Multiplikatoren Gruppierung'!H49,1)</f>
        <v>9.6</v>
      </c>
      <c r="I19" s="81" t="s">
        <v>77</v>
      </c>
      <c r="J19" s="82">
        <f t="shared" si="2"/>
        <v>508.8</v>
      </c>
      <c r="K19" s="52"/>
      <c r="L19" s="83">
        <f t="shared" si="3"/>
        <v>296.4</v>
      </c>
      <c r="M19" s="101"/>
    </row>
    <row r="20" spans="1:13" ht="21" customHeight="1">
      <c r="A20" s="100"/>
      <c r="B20" s="58">
        <v>2003</v>
      </c>
      <c r="C20" s="59"/>
      <c r="D20" s="60">
        <v>59.6</v>
      </c>
      <c r="E20" s="60"/>
      <c r="F20" s="60"/>
      <c r="G20" s="59"/>
      <c r="H20" s="60">
        <f>ROUND('PG-Multiplikatoren Gruppierung'!I49,1)</f>
        <v>8.6</v>
      </c>
      <c r="I20" s="61" t="s">
        <v>77</v>
      </c>
      <c r="J20" s="86">
        <f t="shared" si="2"/>
        <v>512.6</v>
      </c>
      <c r="K20" s="62"/>
      <c r="L20" s="64">
        <f t="shared" si="3"/>
        <v>300.20000000000005</v>
      </c>
      <c r="M20" s="101"/>
    </row>
    <row r="21" spans="1:13" ht="21" customHeight="1">
      <c r="A21" s="100"/>
      <c r="B21" s="54">
        <v>2002</v>
      </c>
      <c r="C21" s="4" t="s">
        <v>66</v>
      </c>
      <c r="D21" s="25">
        <v>27</v>
      </c>
      <c r="E21" s="25"/>
      <c r="F21" s="25"/>
      <c r="G21" s="4" t="s">
        <v>60</v>
      </c>
      <c r="H21" s="25">
        <f>ROUND('PG-Multiplikatoren Gruppierung'!J49,1)</f>
        <v>10.7</v>
      </c>
      <c r="I21" s="55"/>
      <c r="J21" s="14"/>
      <c r="K21" s="57" t="s">
        <v>77</v>
      </c>
      <c r="L21" s="56">
        <f>ROUND(+H21*D21,1)</f>
        <v>288.9</v>
      </c>
      <c r="M21" s="101"/>
    </row>
    <row r="22" spans="1:13" ht="21" customHeight="1">
      <c r="A22" s="100"/>
      <c r="B22" s="58">
        <v>2003</v>
      </c>
      <c r="C22" s="59"/>
      <c r="D22" s="60">
        <v>32</v>
      </c>
      <c r="E22" s="60"/>
      <c r="F22" s="60"/>
      <c r="G22" s="59"/>
      <c r="H22" s="60">
        <f>ROUND('PG-Multiplikatoren Gruppierung'!K49,1)</f>
        <v>9.7</v>
      </c>
      <c r="I22" s="61"/>
      <c r="J22" s="62"/>
      <c r="K22" s="63" t="s">
        <v>77</v>
      </c>
      <c r="L22" s="64">
        <f>ROUND(+H22*D22,1)</f>
        <v>310.4</v>
      </c>
      <c r="M22" s="101"/>
    </row>
    <row r="23" spans="1:13" ht="21" customHeight="1" thickBot="1">
      <c r="A23" s="103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1"/>
    </row>
    <row r="24" spans="1:13" ht="21" customHeight="1" thickTop="1">
      <c r="A24" s="97"/>
      <c r="B24" s="98"/>
      <c r="C24" s="98"/>
      <c r="D24" s="98"/>
      <c r="E24" s="98"/>
      <c r="F24" s="98"/>
      <c r="G24" s="98"/>
      <c r="H24" s="98"/>
      <c r="I24" s="142"/>
      <c r="J24" s="142"/>
      <c r="K24" s="142"/>
      <c r="L24" s="142"/>
      <c r="M24" s="99"/>
    </row>
    <row r="25" spans="1:13" ht="21" customHeight="1">
      <c r="A25" s="100"/>
      <c r="B25" s="51" t="s">
        <v>75</v>
      </c>
      <c r="C25" s="53"/>
      <c r="D25" s="53"/>
      <c r="E25" s="53"/>
      <c r="F25" s="87" t="s">
        <v>119</v>
      </c>
      <c r="G25" s="65">
        <v>21.3</v>
      </c>
      <c r="H25" s="4"/>
      <c r="I25" s="23"/>
      <c r="J25" s="23"/>
      <c r="K25" s="23"/>
      <c r="L25" s="23"/>
      <c r="M25" s="101"/>
    </row>
    <row r="26" spans="1:13" ht="21" customHeight="1">
      <c r="A26" s="100"/>
      <c r="B26" s="30" t="s">
        <v>74</v>
      </c>
      <c r="C26" s="4"/>
      <c r="D26" s="4"/>
      <c r="E26" s="4"/>
      <c r="F26" s="57" t="s">
        <v>119</v>
      </c>
      <c r="G26" s="66">
        <v>39.5</v>
      </c>
      <c r="H26" s="4"/>
      <c r="I26" s="23"/>
      <c r="J26" s="23"/>
      <c r="K26" s="23"/>
      <c r="L26" s="23"/>
      <c r="M26" s="101"/>
    </row>
    <row r="27" spans="1:13" ht="21" customHeight="1">
      <c r="A27" s="100"/>
      <c r="B27" s="67" t="s">
        <v>102</v>
      </c>
      <c r="C27" s="59"/>
      <c r="D27" s="59"/>
      <c r="E27" s="59"/>
      <c r="F27" s="63" t="s">
        <v>119</v>
      </c>
      <c r="G27" s="95">
        <v>259.7</v>
      </c>
      <c r="H27" s="4"/>
      <c r="I27" s="23"/>
      <c r="J27" s="23"/>
      <c r="K27" s="23"/>
      <c r="L27" s="23"/>
      <c r="M27" s="101"/>
    </row>
    <row r="28" spans="1:13" ht="21" customHeight="1">
      <c r="A28" s="100"/>
      <c r="B28" s="30" t="s">
        <v>105</v>
      </c>
      <c r="C28" s="4"/>
      <c r="D28" s="4"/>
      <c r="E28" s="4"/>
      <c r="F28" s="94" t="s">
        <v>120</v>
      </c>
      <c r="G28" s="66">
        <v>75.2</v>
      </c>
      <c r="H28" s="4"/>
      <c r="I28" s="23"/>
      <c r="J28" s="23"/>
      <c r="K28" s="23"/>
      <c r="L28" s="23"/>
      <c r="M28" s="101"/>
    </row>
    <row r="29" spans="1:13" ht="21" customHeight="1">
      <c r="A29" s="100"/>
      <c r="B29" s="67" t="s">
        <v>76</v>
      </c>
      <c r="C29" s="59"/>
      <c r="D29" s="59"/>
      <c r="E29" s="59"/>
      <c r="F29" s="96" t="s">
        <v>120</v>
      </c>
      <c r="G29" s="95">
        <v>32.9</v>
      </c>
      <c r="H29" s="4"/>
      <c r="I29" s="23"/>
      <c r="J29" s="23"/>
      <c r="K29" s="23"/>
      <c r="L29" s="23"/>
      <c r="M29" s="101"/>
    </row>
    <row r="30" spans="1:13" ht="21" customHeight="1">
      <c r="A30" s="100"/>
      <c r="B30" s="67" t="s">
        <v>104</v>
      </c>
      <c r="C30" s="59"/>
      <c r="D30" s="59"/>
      <c r="E30" s="59"/>
      <c r="F30" s="63" t="s">
        <v>77</v>
      </c>
      <c r="G30" s="68">
        <f>+G25+G26+G27-G28-G29</f>
        <v>212.4</v>
      </c>
      <c r="H30" s="4"/>
      <c r="I30" s="23"/>
      <c r="J30" s="23"/>
      <c r="K30" s="23"/>
      <c r="L30" s="23"/>
      <c r="M30" s="101"/>
    </row>
    <row r="31" spans="1:13" ht="21" customHeight="1" thickBot="1">
      <c r="A31" s="103"/>
      <c r="B31" s="140"/>
      <c r="C31" s="140"/>
      <c r="D31" s="140"/>
      <c r="E31" s="140"/>
      <c r="F31" s="140"/>
      <c r="G31" s="140"/>
      <c r="H31" s="140"/>
      <c r="I31" s="104"/>
      <c r="J31" s="104"/>
      <c r="K31" s="104"/>
      <c r="L31" s="104"/>
      <c r="M31" s="141"/>
    </row>
    <row r="32" spans="1:13" ht="21" customHeight="1" thickTop="1">
      <c r="A32" s="10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102"/>
    </row>
    <row r="33" spans="1:13" ht="21" customHeight="1">
      <c r="A33" s="100"/>
      <c r="B33" s="88" t="s">
        <v>80</v>
      </c>
      <c r="C33" s="295" t="s">
        <v>124</v>
      </c>
      <c r="D33" s="296"/>
      <c r="E33" s="89"/>
      <c r="F33" s="89"/>
      <c r="G33" s="130"/>
      <c r="H33" s="90"/>
      <c r="I33" s="88"/>
      <c r="J33" s="113"/>
      <c r="K33" s="88"/>
      <c r="L33" s="113"/>
      <c r="M33" s="102"/>
    </row>
    <row r="34" spans="1:13" ht="21" customHeight="1">
      <c r="A34" s="100"/>
      <c r="B34" s="114"/>
      <c r="C34" s="288" t="s">
        <v>126</v>
      </c>
      <c r="D34" s="289" t="s">
        <v>125</v>
      </c>
      <c r="E34" s="115"/>
      <c r="F34" s="115"/>
      <c r="G34" s="293" t="s">
        <v>123</v>
      </c>
      <c r="H34" s="115"/>
      <c r="I34" s="299" t="s">
        <v>112</v>
      </c>
      <c r="J34" s="300"/>
      <c r="K34" s="288" t="s">
        <v>111</v>
      </c>
      <c r="L34" s="289"/>
      <c r="M34" s="102"/>
    </row>
    <row r="35" spans="1:13" ht="21" customHeight="1">
      <c r="A35" s="100"/>
      <c r="B35" s="91"/>
      <c r="C35" s="290"/>
      <c r="D35" s="283"/>
      <c r="E35" s="93"/>
      <c r="F35" s="93"/>
      <c r="G35" s="294"/>
      <c r="H35" s="93"/>
      <c r="I35" s="301"/>
      <c r="J35" s="302"/>
      <c r="K35" s="290"/>
      <c r="L35" s="283"/>
      <c r="M35" s="102"/>
    </row>
    <row r="36" spans="1:13" ht="21" customHeight="1">
      <c r="A36" s="100"/>
      <c r="B36" s="74" t="s">
        <v>121</v>
      </c>
      <c r="C36" s="126">
        <v>0.5</v>
      </c>
      <c r="D36" s="137">
        <f>1-C36</f>
        <v>0.5</v>
      </c>
      <c r="E36" s="109"/>
      <c r="F36" s="23"/>
      <c r="G36" s="131"/>
      <c r="H36" s="23"/>
      <c r="I36" s="116"/>
      <c r="J36" s="121"/>
      <c r="K36" s="116"/>
      <c r="L36" s="73"/>
      <c r="M36" s="102"/>
    </row>
    <row r="37" spans="1:13" ht="21" customHeight="1">
      <c r="A37" s="100"/>
      <c r="B37" s="69">
        <v>2002</v>
      </c>
      <c r="C37" s="117"/>
      <c r="D37" s="122"/>
      <c r="E37" s="70"/>
      <c r="F37" s="70"/>
      <c r="G37" s="132"/>
      <c r="H37" s="70"/>
      <c r="I37" s="117"/>
      <c r="J37" s="122"/>
      <c r="K37" s="117"/>
      <c r="L37" s="71"/>
      <c r="M37" s="102"/>
    </row>
    <row r="38" spans="1:13" ht="21" customHeight="1">
      <c r="A38" s="100"/>
      <c r="B38" s="72" t="str">
        <f>+C4</f>
        <v>Umsatz </v>
      </c>
      <c r="C38" s="127">
        <f>+L4</f>
        <v>579.1</v>
      </c>
      <c r="D38" s="123">
        <f>+L15</f>
        <v>548.7</v>
      </c>
      <c r="E38" s="286" t="s">
        <v>122</v>
      </c>
      <c r="F38" s="287"/>
      <c r="G38" s="133">
        <f>$C$36*C38+$D$36*D38</f>
        <v>563.9000000000001</v>
      </c>
      <c r="H38" s="106" t="s">
        <v>122</v>
      </c>
      <c r="I38" s="118">
        <v>0</v>
      </c>
      <c r="J38" s="123">
        <f>G38*I38</f>
        <v>0</v>
      </c>
      <c r="K38" s="118"/>
      <c r="L38" s="73"/>
      <c r="M38" s="102"/>
    </row>
    <row r="39" spans="1:13" ht="21" customHeight="1">
      <c r="A39" s="100"/>
      <c r="B39" s="72" t="str">
        <f>+C6</f>
        <v>EBITDA</v>
      </c>
      <c r="C39" s="127">
        <f>+L6</f>
        <v>350.80000000000007</v>
      </c>
      <c r="D39" s="123">
        <f>+L17</f>
        <v>466</v>
      </c>
      <c r="E39" s="286" t="s">
        <v>122</v>
      </c>
      <c r="F39" s="287"/>
      <c r="G39" s="133">
        <f>$C$36*C39+$D$36*D39</f>
        <v>408.40000000000003</v>
      </c>
      <c r="H39" s="106" t="s">
        <v>122</v>
      </c>
      <c r="I39" s="118">
        <v>1</v>
      </c>
      <c r="J39" s="123">
        <f>G39*I39</f>
        <v>408.40000000000003</v>
      </c>
      <c r="K39" s="118"/>
      <c r="L39" s="73"/>
      <c r="M39" s="102"/>
    </row>
    <row r="40" spans="1:13" ht="21" customHeight="1">
      <c r="A40" s="100"/>
      <c r="B40" s="72" t="str">
        <f>+C8</f>
        <v>EBIT</v>
      </c>
      <c r="C40" s="127">
        <f>+L8</f>
        <v>163.9</v>
      </c>
      <c r="D40" s="123">
        <f>+L19</f>
        <v>296.4</v>
      </c>
      <c r="E40" s="286" t="s">
        <v>122</v>
      </c>
      <c r="F40" s="287"/>
      <c r="G40" s="133">
        <f>$C$36*C40+$D$36*D40</f>
        <v>230.14999999999998</v>
      </c>
      <c r="H40" s="106" t="s">
        <v>122</v>
      </c>
      <c r="I40" s="118">
        <v>1</v>
      </c>
      <c r="J40" s="123">
        <f>G40*I40</f>
        <v>230.14999999999998</v>
      </c>
      <c r="K40" s="118"/>
      <c r="L40" s="73"/>
      <c r="M40" s="102"/>
    </row>
    <row r="41" spans="1:13" ht="21" customHeight="1">
      <c r="A41" s="100"/>
      <c r="B41" s="75" t="str">
        <f>+C10</f>
        <v>EAT</v>
      </c>
      <c r="C41" s="119">
        <f>+L10</f>
        <v>251.1</v>
      </c>
      <c r="D41" s="110">
        <f>+L21</f>
        <v>288.9</v>
      </c>
      <c r="E41" s="286" t="s">
        <v>122</v>
      </c>
      <c r="F41" s="287"/>
      <c r="G41" s="134">
        <f>$C$36*C41+$D$36*D41</f>
        <v>270</v>
      </c>
      <c r="H41" s="112" t="s">
        <v>122</v>
      </c>
      <c r="I41" s="124">
        <v>1</v>
      </c>
      <c r="J41" s="110">
        <f>G41*I41</f>
        <v>270</v>
      </c>
      <c r="K41" s="291">
        <f>ROUND(AVERAGE(J38:J41),1)</f>
        <v>227.1</v>
      </c>
      <c r="L41" s="292"/>
      <c r="M41" s="102"/>
    </row>
    <row r="42" spans="1:13" ht="21" customHeight="1">
      <c r="A42" s="100"/>
      <c r="B42" s="69">
        <v>2003</v>
      </c>
      <c r="C42" s="128"/>
      <c r="D42" s="138"/>
      <c r="E42" s="70"/>
      <c r="F42" s="111"/>
      <c r="G42" s="135"/>
      <c r="H42" s="111"/>
      <c r="I42" s="107"/>
      <c r="J42" s="108"/>
      <c r="K42" s="120"/>
      <c r="L42" s="71"/>
      <c r="M42" s="102"/>
    </row>
    <row r="43" spans="1:13" ht="21" customHeight="1">
      <c r="A43" s="100"/>
      <c r="B43" s="72" t="str">
        <f>+B38</f>
        <v>Umsatz </v>
      </c>
      <c r="C43" s="127">
        <f>+L5</f>
        <v>557.3000000000001</v>
      </c>
      <c r="D43" s="123">
        <f>+L16</f>
        <v>510.20000000000005</v>
      </c>
      <c r="E43" s="286" t="s">
        <v>122</v>
      </c>
      <c r="F43" s="287"/>
      <c r="G43" s="133">
        <f>$C$36*C43+$D$36*D43</f>
        <v>533.75</v>
      </c>
      <c r="H43" s="106" t="s">
        <v>122</v>
      </c>
      <c r="I43" s="118">
        <v>0</v>
      </c>
      <c r="J43" s="123">
        <f>G43*I43</f>
        <v>0</v>
      </c>
      <c r="K43" s="118"/>
      <c r="L43" s="73"/>
      <c r="M43" s="102"/>
    </row>
    <row r="44" spans="1:13" ht="21" customHeight="1">
      <c r="A44" s="100"/>
      <c r="B44" s="72" t="str">
        <f>+B39</f>
        <v>EBITDA</v>
      </c>
      <c r="C44" s="127">
        <f>+L7</f>
        <v>327</v>
      </c>
      <c r="D44" s="123">
        <f>+L18</f>
        <v>423.80000000000007</v>
      </c>
      <c r="E44" s="286" t="s">
        <v>122</v>
      </c>
      <c r="F44" s="287"/>
      <c r="G44" s="133">
        <f>$C$36*C44+$D$36*D44</f>
        <v>375.40000000000003</v>
      </c>
      <c r="H44" s="106" t="s">
        <v>122</v>
      </c>
      <c r="I44" s="118">
        <v>1</v>
      </c>
      <c r="J44" s="123">
        <f>G44*I44</f>
        <v>375.40000000000003</v>
      </c>
      <c r="K44" s="118"/>
      <c r="L44" s="73"/>
      <c r="M44" s="102"/>
    </row>
    <row r="45" spans="1:13" ht="21" customHeight="1">
      <c r="A45" s="100"/>
      <c r="B45" s="72" t="str">
        <f>+B40</f>
        <v>EBIT</v>
      </c>
      <c r="C45" s="127">
        <f>+L9</f>
        <v>174.99999999999997</v>
      </c>
      <c r="D45" s="123">
        <f>+L20</f>
        <v>300.20000000000005</v>
      </c>
      <c r="E45" s="286" t="s">
        <v>122</v>
      </c>
      <c r="F45" s="287"/>
      <c r="G45" s="133">
        <f>$C$36*C45+$D$36*D45</f>
        <v>237.60000000000002</v>
      </c>
      <c r="H45" s="106" t="s">
        <v>122</v>
      </c>
      <c r="I45" s="118">
        <v>1</v>
      </c>
      <c r="J45" s="123">
        <f>G45*I45</f>
        <v>237.60000000000002</v>
      </c>
      <c r="K45" s="118"/>
      <c r="L45" s="73"/>
      <c r="M45" s="102"/>
    </row>
    <row r="46" spans="1:13" ht="21" customHeight="1">
      <c r="A46" s="100"/>
      <c r="B46" s="75" t="str">
        <f>+B41</f>
        <v>EAT</v>
      </c>
      <c r="C46" s="119">
        <f>+L11</f>
        <v>240</v>
      </c>
      <c r="D46" s="110">
        <f>+L22</f>
        <v>310.4</v>
      </c>
      <c r="E46" s="297" t="s">
        <v>122</v>
      </c>
      <c r="F46" s="298"/>
      <c r="G46" s="134">
        <f>$C$36*C46+$D$36*D46</f>
        <v>275.2</v>
      </c>
      <c r="H46" s="112" t="s">
        <v>122</v>
      </c>
      <c r="I46" s="124">
        <v>1</v>
      </c>
      <c r="J46" s="110">
        <f>G46*I46</f>
        <v>275.2</v>
      </c>
      <c r="K46" s="291">
        <f>ROUND(AVERAGE(J43:J46),1)</f>
        <v>222.1</v>
      </c>
      <c r="L46" s="292"/>
      <c r="M46" s="102"/>
    </row>
    <row r="47" spans="1:13" ht="21" customHeight="1">
      <c r="A47" s="100"/>
      <c r="B47" s="75"/>
      <c r="C47" s="129"/>
      <c r="D47" s="139"/>
      <c r="E47" s="76"/>
      <c r="F47" s="76"/>
      <c r="G47" s="136"/>
      <c r="H47" s="76"/>
      <c r="I47" s="75"/>
      <c r="J47" s="125"/>
      <c r="K47" s="291">
        <f>+K41*0.5+K46*0.5</f>
        <v>224.6</v>
      </c>
      <c r="L47" s="292"/>
      <c r="M47" s="102"/>
    </row>
    <row r="48" spans="1:13" ht="21" customHeight="1" thickBot="1">
      <c r="A48" s="10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5"/>
    </row>
    <row r="49" ht="21" customHeight="1" thickTop="1"/>
  </sheetData>
  <sheetProtection/>
  <mergeCells count="25">
    <mergeCell ref="K46:L46"/>
    <mergeCell ref="K47:L47"/>
    <mergeCell ref="I34:J35"/>
    <mergeCell ref="E38:F38"/>
    <mergeCell ref="E39:F39"/>
    <mergeCell ref="E40:F40"/>
    <mergeCell ref="E41:F41"/>
    <mergeCell ref="E43:F43"/>
    <mergeCell ref="E44:F44"/>
    <mergeCell ref="J13:J14"/>
    <mergeCell ref="C34:C35"/>
    <mergeCell ref="D34:D35"/>
    <mergeCell ref="G34:G35"/>
    <mergeCell ref="C33:D33"/>
    <mergeCell ref="E46:F46"/>
    <mergeCell ref="L13:L14"/>
    <mergeCell ref="C2:D3"/>
    <mergeCell ref="G2:H3"/>
    <mergeCell ref="J2:J3"/>
    <mergeCell ref="L2:L3"/>
    <mergeCell ref="E45:F45"/>
    <mergeCell ref="K34:L35"/>
    <mergeCell ref="K41:L41"/>
    <mergeCell ref="G13:H14"/>
    <mergeCell ref="C13:D14"/>
  </mergeCells>
  <dataValidations count="1">
    <dataValidation type="list" allowBlank="1" showInputMessage="1" showErrorMessage="1" prompt="1: ja&#10;0: nein" sqref="I38:I41 I43:I46">
      <formula1>"0,1"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A1" sqref="A1"/>
    </sheetView>
  </sheetViews>
  <sheetFormatPr defaultColWidth="11.57421875" defaultRowHeight="21" customHeight="1"/>
  <cols>
    <col min="1" max="1" width="2.7109375" style="40" customWidth="1"/>
    <col min="2" max="3" width="11.421875" style="40" customWidth="1"/>
    <col min="4" max="4" width="2.7109375" style="40" customWidth="1"/>
    <col min="5" max="16384" width="11.421875" style="40" customWidth="1"/>
  </cols>
  <sheetData>
    <row r="1" spans="1:4" ht="21" customHeight="1" thickTop="1">
      <c r="A1" s="143"/>
      <c r="B1" s="144"/>
      <c r="C1" s="144"/>
      <c r="D1" s="145"/>
    </row>
    <row r="2" spans="1:4" ht="21" customHeight="1">
      <c r="A2" s="146"/>
      <c r="B2" s="147" t="s">
        <v>110</v>
      </c>
      <c r="C2" s="3"/>
      <c r="D2" s="148"/>
    </row>
    <row r="3" spans="1:4" ht="21" customHeight="1">
      <c r="A3" s="146"/>
      <c r="B3" s="3"/>
      <c r="C3" s="3"/>
      <c r="D3" s="148"/>
    </row>
    <row r="4" spans="1:4" ht="21" customHeight="1">
      <c r="A4" s="146"/>
      <c r="B4" s="3" t="s">
        <v>83</v>
      </c>
      <c r="C4" s="3">
        <v>0.9757</v>
      </c>
      <c r="D4" s="148"/>
    </row>
    <row r="5" spans="1:4" ht="21" customHeight="1">
      <c r="A5" s="146"/>
      <c r="B5" s="3" t="s">
        <v>84</v>
      </c>
      <c r="C5" s="3">
        <v>0.6515</v>
      </c>
      <c r="D5" s="148"/>
    </row>
    <row r="6" spans="1:4" ht="21" customHeight="1">
      <c r="A6" s="146"/>
      <c r="B6" s="3" t="s">
        <v>85</v>
      </c>
      <c r="C6" s="149">
        <f>1/0.0086081</f>
        <v>116.16965416293955</v>
      </c>
      <c r="D6" s="148"/>
    </row>
    <row r="7" spans="1:4" ht="21" customHeight="1" thickBot="1">
      <c r="A7" s="150"/>
      <c r="B7" s="151"/>
      <c r="C7" s="151"/>
      <c r="D7" s="152"/>
    </row>
    <row r="8" ht="21" customHeight="1" thickTop="1"/>
  </sheetData>
  <sheetProtection/>
  <printOptions/>
  <pageMargins left="0.75" right="0.75" top="1" bottom="1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LBBW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Bjoern Thielen</dc:creator>
  <cp:keywords/>
  <dc:description/>
  <cp:lastModifiedBy>Microsoft Office-Anwender</cp:lastModifiedBy>
  <cp:lastPrinted>2010-03-01T13:46:53Z</cp:lastPrinted>
  <dcterms:created xsi:type="dcterms:W3CDTF">2002-08-20T07:53:55Z</dcterms:created>
  <dcterms:modified xsi:type="dcterms:W3CDTF">2017-11-30T07:47:39Z</dcterms:modified>
  <cp:category/>
  <cp:version/>
  <cp:contentType/>
  <cp:contentStatus/>
</cp:coreProperties>
</file>