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460" windowWidth="30400" windowHeight="16440" activeTab="0"/>
  </bookViews>
  <sheets>
    <sheet name="PG-T-Mobile Bewertung" sheetId="1" r:id="rId1"/>
  </sheets>
  <definedNames>
    <definedName name="_xlnm.Print_Area" localSheetId="0">'PG-T-Mobile Bewertung'!$A$1:$V$26</definedName>
    <definedName name="_xlnm.Print_Titles" localSheetId="0">'PG-T-Mobile Bewertung'!$A:$B</definedName>
    <definedName name="GBP">'PG-T-Mobile Bewertung'!$C$3</definedName>
  </definedNames>
  <calcPr fullCalcOnLoad="1"/>
</workbook>
</file>

<file path=xl/sharedStrings.xml><?xml version="1.0" encoding="utf-8"?>
<sst xmlns="http://schemas.openxmlformats.org/spreadsheetml/2006/main" count="69" uniqueCount="51">
  <si>
    <t>mm02</t>
  </si>
  <si>
    <t>Market Cap</t>
  </si>
  <si>
    <t>GBP</t>
  </si>
  <si>
    <t>Orange</t>
  </si>
  <si>
    <t>mm02 plc</t>
  </si>
  <si>
    <t>Orange SA</t>
  </si>
  <si>
    <t>EUR</t>
  </si>
  <si>
    <t>Telefonica Moviles, S.A.</t>
  </si>
  <si>
    <t>Telecom Italia Mobile S.p.A.</t>
  </si>
  <si>
    <t>Teilnehmer</t>
  </si>
  <si>
    <t>Umsatz</t>
  </si>
  <si>
    <t>T-Mobile</t>
  </si>
  <si>
    <t>EBITDA</t>
  </si>
  <si>
    <t>Schulden</t>
  </si>
  <si>
    <t>Kasse + Wertpapiere</t>
  </si>
  <si>
    <t>Enterprise Value</t>
  </si>
  <si>
    <t xml:space="preserve">Teilnehmer </t>
  </si>
  <si>
    <t>at-equity</t>
  </si>
  <si>
    <t>Anteil Dritter</t>
  </si>
  <si>
    <t>Umsatz je Teilnehmer in EUR</t>
  </si>
  <si>
    <t>EBITDA-Marge</t>
  </si>
  <si>
    <t>EBITDA je Teilnehmer</t>
  </si>
  <si>
    <t>Kosten je Teilnehmer</t>
  </si>
  <si>
    <t>EV in Mio €</t>
  </si>
  <si>
    <t>Umsatz in Mio €</t>
  </si>
  <si>
    <t>EBITDA in Mio</t>
  </si>
  <si>
    <t>Marge</t>
  </si>
  <si>
    <t>EV/Kunde</t>
  </si>
  <si>
    <t>EV/Umsatz</t>
  </si>
  <si>
    <t>EV/EBITDA</t>
  </si>
  <si>
    <t>Umsatz pro Mobilfunk-kunde in €</t>
  </si>
  <si>
    <t>Mobilfunk-kunden in Tsd</t>
  </si>
  <si>
    <t>Market Cap in Mio € zum 24.09.02</t>
  </si>
  <si>
    <t>Vodafone Group plc*</t>
  </si>
  <si>
    <t>Telefonica Moviles</t>
  </si>
  <si>
    <t>TIM</t>
  </si>
  <si>
    <t>Vodafone</t>
  </si>
  <si>
    <t>von T-Mobile</t>
  </si>
  <si>
    <t>EV/Kunde-Multiplikator</t>
  </si>
  <si>
    <t>Bewertung</t>
  </si>
  <si>
    <t>EBITDA in Mio €</t>
  </si>
  <si>
    <t>Kunden in Tsd</t>
  </si>
  <si>
    <t>Median</t>
  </si>
  <si>
    <t>Bezugsgröße</t>
  </si>
  <si>
    <t>*</t>
  </si>
  <si>
    <t>Multiplikator</t>
  </si>
  <si>
    <t>=</t>
  </si>
  <si>
    <t>EV</t>
  </si>
  <si>
    <t>Wert in Mio. €</t>
  </si>
  <si>
    <t>Wechselkurs</t>
  </si>
  <si>
    <t>* da Vodafone anteilig zählt =&gt; Anteile Dritter und at-equity nicht notwendig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</si>
</sst>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0"/>
    <numFmt numFmtId="174" formatCode="0.0000"/>
    <numFmt numFmtId="175" formatCode="0.0"/>
    <numFmt numFmtId="176" formatCode="0.0000000"/>
    <numFmt numFmtId="177" formatCode="0.000000"/>
    <numFmt numFmtId="178" formatCode="0.0%"/>
    <numFmt numFmtId="179" formatCode="##\ ###\ ###.00"/>
    <numFmt numFmtId="180" formatCode="##\ ###\ ###"/>
    <numFmt numFmtId="181" formatCode="##.0\ ###\ ###"/>
  </numFmts>
  <fonts count="3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05">
    <xf numFmtId="0" fontId="0" fillId="0" borderId="0" xfId="0" applyAlignment="1">
      <alignment/>
    </xf>
    <xf numFmtId="0" fontId="0" fillId="33" borderId="10" xfId="0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/>
    </xf>
    <xf numFmtId="0" fontId="0" fillId="0" borderId="10" xfId="0" applyBorder="1" applyAlignment="1">
      <alignment/>
    </xf>
    <xf numFmtId="180" fontId="0" fillId="0" borderId="12" xfId="0" applyNumberFormat="1" applyBorder="1" applyAlignment="1">
      <alignment/>
    </xf>
    <xf numFmtId="178" fontId="0" fillId="0" borderId="12" xfId="51" applyNumberFormat="1" applyFont="1" applyBorder="1" applyAlignment="1">
      <alignment/>
    </xf>
    <xf numFmtId="2" fontId="0" fillId="0" borderId="12" xfId="0" applyNumberFormat="1" applyBorder="1" applyAlignment="1">
      <alignment/>
    </xf>
    <xf numFmtId="179" fontId="0" fillId="0" borderId="12" xfId="0" applyNumberFormat="1" applyBorder="1" applyAlignment="1">
      <alignment/>
    </xf>
    <xf numFmtId="0" fontId="0" fillId="0" borderId="11" xfId="0" applyBorder="1" applyAlignment="1">
      <alignment/>
    </xf>
    <xf numFmtId="180" fontId="0" fillId="0" borderId="13" xfId="0" applyNumberFormat="1" applyBorder="1" applyAlignment="1">
      <alignment/>
    </xf>
    <xf numFmtId="178" fontId="0" fillId="0" borderId="13" xfId="51" applyNumberFormat="1" applyFont="1" applyBorder="1" applyAlignment="1">
      <alignment/>
    </xf>
    <xf numFmtId="2" fontId="0" fillId="0" borderId="13" xfId="0" applyNumberFormat="1" applyBorder="1" applyAlignment="1">
      <alignment/>
    </xf>
    <xf numFmtId="179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80" fontId="0" fillId="0" borderId="15" xfId="0" applyNumberFormat="1" applyBorder="1" applyAlignment="1">
      <alignment/>
    </xf>
    <xf numFmtId="178" fontId="0" fillId="0" borderId="15" xfId="51" applyNumberFormat="1" applyFont="1" applyBorder="1" applyAlignment="1">
      <alignment/>
    </xf>
    <xf numFmtId="2" fontId="0" fillId="0" borderId="15" xfId="0" applyNumberFormat="1" applyBorder="1" applyAlignment="1">
      <alignment/>
    </xf>
    <xf numFmtId="179" fontId="0" fillId="0" borderId="15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178" fontId="0" fillId="34" borderId="0" xfId="51" applyNumberFormat="1" applyFont="1" applyFill="1" applyAlignment="1">
      <alignment/>
    </xf>
    <xf numFmtId="180" fontId="0" fillId="34" borderId="0" xfId="0" applyNumberFormat="1" applyFill="1" applyAlignment="1">
      <alignment/>
    </xf>
    <xf numFmtId="2" fontId="0" fillId="34" borderId="0" xfId="0" applyNumberFormat="1" applyFill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78" fontId="0" fillId="0" borderId="18" xfId="51" applyNumberFormat="1" applyFont="1" applyBorder="1" applyAlignment="1">
      <alignment/>
    </xf>
    <xf numFmtId="0" fontId="0" fillId="0" borderId="19" xfId="0" applyBorder="1" applyAlignment="1">
      <alignment/>
    </xf>
    <xf numFmtId="178" fontId="0" fillId="0" borderId="20" xfId="51" applyNumberFormat="1" applyFont="1" applyBorder="1" applyAlignment="1">
      <alignment/>
    </xf>
    <xf numFmtId="180" fontId="0" fillId="0" borderId="20" xfId="0" applyNumberFormat="1" applyBorder="1" applyAlignment="1">
      <alignment/>
    </xf>
    <xf numFmtId="180" fontId="0" fillId="0" borderId="0" xfId="0" applyNumberFormat="1" applyBorder="1" applyAlignment="1">
      <alignment/>
    </xf>
    <xf numFmtId="178" fontId="0" fillId="0" borderId="0" xfId="51" applyNumberFormat="1" applyFont="1" applyBorder="1" applyAlignment="1">
      <alignment/>
    </xf>
    <xf numFmtId="0" fontId="0" fillId="0" borderId="0" xfId="0" applyBorder="1" applyAlignment="1">
      <alignment horizontal="center"/>
    </xf>
    <xf numFmtId="180" fontId="0" fillId="0" borderId="0" xfId="0" applyNumberFormat="1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33" borderId="20" xfId="0" applyFill="1" applyBorder="1" applyAlignment="1">
      <alignment/>
    </xf>
    <xf numFmtId="180" fontId="0" fillId="33" borderId="18" xfId="0" applyNumberFormat="1" applyFill="1" applyBorder="1" applyAlignment="1" quotePrefix="1">
      <alignment horizontal="center"/>
    </xf>
    <xf numFmtId="0" fontId="0" fillId="33" borderId="18" xfId="0" applyFill="1" applyBorder="1" applyAlignment="1" quotePrefix="1">
      <alignment horizontal="center"/>
    </xf>
    <xf numFmtId="0" fontId="0" fillId="0" borderId="21" xfId="0" applyBorder="1" applyAlignment="1">
      <alignment/>
    </xf>
    <xf numFmtId="180" fontId="0" fillId="0" borderId="21" xfId="0" applyNumberFormat="1" applyBorder="1" applyAlignment="1">
      <alignment/>
    </xf>
    <xf numFmtId="180" fontId="0" fillId="0" borderId="21" xfId="0" applyNumberFormat="1" applyBorder="1" applyAlignment="1" quotePrefix="1">
      <alignment horizontal="center"/>
    </xf>
    <xf numFmtId="0" fontId="0" fillId="0" borderId="21" xfId="0" applyBorder="1" applyAlignment="1" quotePrefix="1">
      <alignment horizontal="center"/>
    </xf>
    <xf numFmtId="180" fontId="0" fillId="0" borderId="22" xfId="0" applyNumberFormat="1" applyBorder="1" applyAlignment="1">
      <alignment/>
    </xf>
    <xf numFmtId="179" fontId="0" fillId="0" borderId="0" xfId="0" applyNumberFormat="1" applyBorder="1" applyAlignment="1">
      <alignment/>
    </xf>
    <xf numFmtId="180" fontId="0" fillId="0" borderId="23" xfId="0" applyNumberFormat="1" applyBorder="1" applyAlignment="1">
      <alignment/>
    </xf>
    <xf numFmtId="180" fontId="0" fillId="0" borderId="16" xfId="0" applyNumberFormat="1" applyBorder="1" applyAlignment="1">
      <alignment/>
    </xf>
    <xf numFmtId="180" fontId="0" fillId="0" borderId="16" xfId="0" applyNumberFormat="1" applyBorder="1" applyAlignment="1" quotePrefix="1">
      <alignment horizontal="center"/>
    </xf>
    <xf numFmtId="179" fontId="0" fillId="0" borderId="16" xfId="0" applyNumberFormat="1" applyBorder="1" applyAlignment="1">
      <alignment/>
    </xf>
    <xf numFmtId="0" fontId="0" fillId="0" borderId="16" xfId="0" applyBorder="1" applyAlignment="1" quotePrefix="1">
      <alignment horizontal="center"/>
    </xf>
    <xf numFmtId="180" fontId="0" fillId="0" borderId="24" xfId="0" applyNumberFormat="1" applyBorder="1" applyAlignment="1">
      <alignment/>
    </xf>
    <xf numFmtId="1" fontId="0" fillId="0" borderId="25" xfId="0" applyNumberFormat="1" applyBorder="1" applyAlignment="1">
      <alignment/>
    </xf>
    <xf numFmtId="1" fontId="0" fillId="0" borderId="26" xfId="0" applyNumberFormat="1" applyBorder="1" applyAlignment="1">
      <alignment/>
    </xf>
    <xf numFmtId="1" fontId="0" fillId="0" borderId="27" xfId="0" applyNumberFormat="1" applyBorder="1" applyAlignment="1">
      <alignment/>
    </xf>
    <xf numFmtId="16" fontId="0" fillId="0" borderId="18" xfId="0" applyNumberFormat="1" applyBorder="1" applyAlignment="1">
      <alignment/>
    </xf>
    <xf numFmtId="1" fontId="0" fillId="0" borderId="18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21" xfId="0" applyNumberFormat="1" applyBorder="1" applyAlignment="1">
      <alignment/>
    </xf>
    <xf numFmtId="175" fontId="0" fillId="0" borderId="22" xfId="0" applyNumberFormat="1" applyBorder="1" applyAlignment="1">
      <alignment/>
    </xf>
    <xf numFmtId="1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175" fontId="0" fillId="0" borderId="23" xfId="0" applyNumberFormat="1" applyBorder="1" applyAlignment="1">
      <alignment/>
    </xf>
    <xf numFmtId="16" fontId="0" fillId="0" borderId="21" xfId="0" applyNumberFormat="1" applyBorder="1" applyAlignment="1">
      <alignment/>
    </xf>
    <xf numFmtId="178" fontId="0" fillId="0" borderId="21" xfId="51" applyNumberFormat="1" applyFont="1" applyBorder="1" applyAlignment="1">
      <alignment/>
    </xf>
    <xf numFmtId="1" fontId="0" fillId="0" borderId="21" xfId="0" applyNumberFormat="1" applyBorder="1" applyAlignment="1">
      <alignment/>
    </xf>
    <xf numFmtId="16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6" fontId="0" fillId="0" borderId="16" xfId="0" applyNumberFormat="1" applyBorder="1" applyAlignment="1">
      <alignment/>
    </xf>
    <xf numFmtId="2" fontId="0" fillId="0" borderId="16" xfId="0" applyNumberFormat="1" applyBorder="1" applyAlignment="1">
      <alignment/>
    </xf>
    <xf numFmtId="178" fontId="0" fillId="0" borderId="16" xfId="51" applyNumberFormat="1" applyFont="1" applyBorder="1" applyAlignment="1">
      <alignment/>
    </xf>
    <xf numFmtId="1" fontId="0" fillId="0" borderId="16" xfId="0" applyNumberFormat="1" applyBorder="1" applyAlignment="1">
      <alignment/>
    </xf>
    <xf numFmtId="175" fontId="0" fillId="0" borderId="24" xfId="0" applyNumberFormat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2" fontId="0" fillId="33" borderId="0" xfId="0" applyNumberFormat="1" applyFill="1" applyBorder="1" applyAlignment="1">
      <alignment horizontal="center"/>
    </xf>
    <xf numFmtId="14" fontId="0" fillId="33" borderId="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2" fontId="0" fillId="33" borderId="16" xfId="0" applyNumberFormat="1" applyFill="1" applyBorder="1" applyAlignment="1">
      <alignment horizontal="center"/>
    </xf>
    <xf numFmtId="14" fontId="0" fillId="33" borderId="16" xfId="0" applyNumberForma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33" borderId="0" xfId="0" applyFill="1" applyBorder="1" applyAlignment="1">
      <alignment horizontal="center" wrapText="1"/>
    </xf>
    <xf numFmtId="0" fontId="0" fillId="33" borderId="16" xfId="0" applyFill="1" applyBorder="1" applyAlignment="1">
      <alignment horizontal="center" wrapText="1"/>
    </xf>
    <xf numFmtId="0" fontId="0" fillId="33" borderId="23" xfId="0" applyFill="1" applyBorder="1" applyAlignment="1">
      <alignment horizontal="center" wrapText="1"/>
    </xf>
    <xf numFmtId="0" fontId="0" fillId="33" borderId="24" xfId="0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0" fillId="33" borderId="13" xfId="0" applyFill="1" applyBorder="1" applyAlignment="1">
      <alignment horizontal="center" wrapText="1"/>
    </xf>
    <xf numFmtId="0" fontId="0" fillId="33" borderId="18" xfId="0" applyFill="1" applyBorder="1" applyAlignment="1">
      <alignment horizontal="center"/>
    </xf>
    <xf numFmtId="180" fontId="0" fillId="33" borderId="18" xfId="0" applyNumberFormat="1" applyFill="1" applyBorder="1" applyAlignment="1">
      <alignment horizontal="center"/>
    </xf>
    <xf numFmtId="0" fontId="0" fillId="33" borderId="19" xfId="0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tabSelected="1" zoomScalePageLayoutView="0" workbookViewId="0" topLeftCell="A1">
      <selection activeCell="A1" sqref="A1"/>
    </sheetView>
  </sheetViews>
  <sheetFormatPr defaultColWidth="11.57421875" defaultRowHeight="21" customHeight="1"/>
  <cols>
    <col min="1" max="1" width="2.7109375" style="3" customWidth="1"/>
    <col min="2" max="2" width="24.421875" style="3" bestFit="1" customWidth="1"/>
    <col min="3" max="3" width="11.421875" style="3" bestFit="1" customWidth="1"/>
    <col min="4" max="4" width="12.00390625" style="3" bestFit="1" customWidth="1"/>
    <col min="5" max="9" width="11.421875" style="3" bestFit="1" customWidth="1"/>
    <col min="10" max="10" width="11.8515625" style="3" bestFit="1" customWidth="1"/>
    <col min="11" max="12" width="11.421875" style="3" bestFit="1" customWidth="1"/>
    <col min="13" max="13" width="2.7109375" style="3" customWidth="1"/>
    <col min="14" max="21" width="11.421875" style="3" bestFit="1" customWidth="1"/>
    <col min="22" max="22" width="2.7109375" style="3" customWidth="1"/>
    <col min="23" max="16384" width="11.421875" style="3" customWidth="1"/>
  </cols>
  <sheetData>
    <row r="1" spans="1:22" ht="21" customHeight="1" thickTop="1">
      <c r="A1" s="88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90"/>
      <c r="N1" s="89"/>
      <c r="O1" s="89"/>
      <c r="P1" s="89"/>
      <c r="Q1" s="89"/>
      <c r="R1" s="89"/>
      <c r="S1" s="89"/>
      <c r="T1" s="89"/>
      <c r="U1" s="89"/>
      <c r="V1" s="90"/>
    </row>
    <row r="2" spans="1:22" ht="21" customHeight="1">
      <c r="A2" s="91"/>
      <c r="B2" s="74"/>
      <c r="C2" s="75" t="s">
        <v>49</v>
      </c>
      <c r="D2" s="75" t="s">
        <v>1</v>
      </c>
      <c r="E2" s="75"/>
      <c r="F2" s="75"/>
      <c r="G2" s="75"/>
      <c r="H2" s="75"/>
      <c r="I2" s="75"/>
      <c r="J2" s="75"/>
      <c r="K2" s="75"/>
      <c r="L2" s="76"/>
      <c r="M2" s="92"/>
      <c r="N2" s="75"/>
      <c r="O2" s="75"/>
      <c r="P2" s="75"/>
      <c r="Q2" s="75"/>
      <c r="R2" s="75"/>
      <c r="S2" s="75"/>
      <c r="T2" s="75"/>
      <c r="U2" s="76"/>
      <c r="V2" s="92"/>
    </row>
    <row r="3" spans="1:22" ht="21" customHeight="1">
      <c r="A3" s="91"/>
      <c r="B3" s="77"/>
      <c r="C3" s="78">
        <f>1/0.6294</f>
        <v>1.5888147442008262</v>
      </c>
      <c r="D3" s="79">
        <v>37523</v>
      </c>
      <c r="E3" s="80"/>
      <c r="F3" s="96" t="s">
        <v>14</v>
      </c>
      <c r="G3" s="96" t="s">
        <v>17</v>
      </c>
      <c r="H3" s="96" t="s">
        <v>13</v>
      </c>
      <c r="I3" s="96" t="s">
        <v>18</v>
      </c>
      <c r="J3" s="96" t="s">
        <v>15</v>
      </c>
      <c r="K3" s="96" t="s">
        <v>9</v>
      </c>
      <c r="L3" s="98" t="s">
        <v>10</v>
      </c>
      <c r="M3" s="92"/>
      <c r="N3" s="96" t="s">
        <v>19</v>
      </c>
      <c r="O3" s="96" t="s">
        <v>12</v>
      </c>
      <c r="P3" s="96" t="s">
        <v>21</v>
      </c>
      <c r="Q3" s="96" t="s">
        <v>22</v>
      </c>
      <c r="R3" s="96" t="s">
        <v>20</v>
      </c>
      <c r="S3" s="96" t="s">
        <v>16</v>
      </c>
      <c r="T3" s="96" t="s">
        <v>10</v>
      </c>
      <c r="U3" s="98" t="s">
        <v>12</v>
      </c>
      <c r="V3" s="92"/>
    </row>
    <row r="4" spans="1:22" ht="21" customHeight="1">
      <c r="A4" s="91"/>
      <c r="B4" s="81"/>
      <c r="C4" s="82"/>
      <c r="D4" s="83"/>
      <c r="E4" s="84"/>
      <c r="F4" s="97"/>
      <c r="G4" s="97"/>
      <c r="H4" s="97"/>
      <c r="I4" s="97"/>
      <c r="J4" s="97"/>
      <c r="K4" s="97"/>
      <c r="L4" s="99"/>
      <c r="M4" s="92"/>
      <c r="N4" s="97"/>
      <c r="O4" s="97"/>
      <c r="P4" s="97"/>
      <c r="Q4" s="97"/>
      <c r="R4" s="97"/>
      <c r="S4" s="97"/>
      <c r="T4" s="97"/>
      <c r="U4" s="99"/>
      <c r="V4" s="92"/>
    </row>
    <row r="5" spans="1:22" ht="21" customHeight="1">
      <c r="A5" s="91"/>
      <c r="B5" s="5" t="s">
        <v>4</v>
      </c>
      <c r="C5" s="85" t="s">
        <v>2</v>
      </c>
      <c r="D5" s="42">
        <v>3381.31</v>
      </c>
      <c r="E5" s="64">
        <v>37346</v>
      </c>
      <c r="F5" s="41">
        <f>859+20</f>
        <v>879</v>
      </c>
      <c r="G5" s="41"/>
      <c r="H5" s="41">
        <f>982+58+406+50</f>
        <v>1496</v>
      </c>
      <c r="I5" s="41"/>
      <c r="J5" s="42">
        <f>+D5+H5+I5-F5-G5</f>
        <v>3998.3099999999995</v>
      </c>
      <c r="K5" s="42">
        <f>(11084+3891+1255+1180+47)/1000</f>
        <v>17.457</v>
      </c>
      <c r="L5" s="45">
        <v>4276</v>
      </c>
      <c r="M5" s="92"/>
      <c r="N5" s="42">
        <f>+L5/K5*C3</f>
        <v>389.17178473980255</v>
      </c>
      <c r="O5" s="42">
        <v>433</v>
      </c>
      <c r="P5" s="42">
        <f>+O5/K5*C3</f>
        <v>39.408648922435574</v>
      </c>
      <c r="Q5" s="59">
        <f>+N5-P5</f>
        <v>349.76313581736696</v>
      </c>
      <c r="R5" s="65">
        <f>+O5/L5</f>
        <v>0.10126286248830683</v>
      </c>
      <c r="S5" s="66">
        <f>+J5/K5*C3</f>
        <v>363.8983719932179</v>
      </c>
      <c r="T5" s="59">
        <f>+J5/L5</f>
        <v>0.93505846585594</v>
      </c>
      <c r="U5" s="60">
        <f>+J5/O5</f>
        <v>9.233972286374133</v>
      </c>
      <c r="V5" s="92"/>
    </row>
    <row r="6" spans="1:22" ht="21" customHeight="1">
      <c r="A6" s="91"/>
      <c r="B6" s="10" t="s">
        <v>5</v>
      </c>
      <c r="C6" s="33" t="s">
        <v>6</v>
      </c>
      <c r="D6" s="31">
        <v>21906.26</v>
      </c>
      <c r="E6" s="67">
        <v>37621</v>
      </c>
      <c r="F6" s="20">
        <f>754+344+6</f>
        <v>1104</v>
      </c>
      <c r="G6" s="20">
        <v>4897</v>
      </c>
      <c r="H6" s="20">
        <f>3900+234+3056</f>
        <v>7190</v>
      </c>
      <c r="I6" s="20">
        <v>142</v>
      </c>
      <c r="J6" s="31">
        <f>+D6+H6+I6-F6-G6</f>
        <v>23237.26</v>
      </c>
      <c r="K6" s="31">
        <f>17.823+12.387+9.061</f>
        <v>39.271</v>
      </c>
      <c r="L6" s="47">
        <v>15087</v>
      </c>
      <c r="M6" s="92"/>
      <c r="N6" s="31">
        <f>+L6/K6</f>
        <v>384.17661887907104</v>
      </c>
      <c r="O6" s="31">
        <v>3288</v>
      </c>
      <c r="P6" s="31">
        <f>+O6/K6</f>
        <v>83.72590461154542</v>
      </c>
      <c r="Q6" s="62">
        <f>+N6-P6</f>
        <v>300.45071426752565</v>
      </c>
      <c r="R6" s="32">
        <f>+O6/L6</f>
        <v>0.21793597136607676</v>
      </c>
      <c r="S6" s="68">
        <f>+J6/K6</f>
        <v>591.7155152657176</v>
      </c>
      <c r="T6" s="62">
        <f>+J6/L6</f>
        <v>1.540217405713528</v>
      </c>
      <c r="U6" s="63">
        <f>+J6/O6</f>
        <v>7.067293187347931</v>
      </c>
      <c r="V6" s="92"/>
    </row>
    <row r="7" spans="1:22" ht="21" customHeight="1">
      <c r="A7" s="91"/>
      <c r="B7" s="10" t="s">
        <v>7</v>
      </c>
      <c r="C7" s="33" t="s">
        <v>6</v>
      </c>
      <c r="D7" s="31">
        <v>26156.53</v>
      </c>
      <c r="E7" s="67">
        <v>37621</v>
      </c>
      <c r="F7" s="20">
        <f>3076+71+1673-267</f>
        <v>4553</v>
      </c>
      <c r="G7" s="20"/>
      <c r="H7" s="20">
        <f>5400+397+1873</f>
        <v>7670</v>
      </c>
      <c r="I7" s="20">
        <v>1198</v>
      </c>
      <c r="J7" s="31">
        <f>+D7+H7+I7-F7-G7</f>
        <v>30471.53</v>
      </c>
      <c r="K7" s="31">
        <f>17.914+10.124</f>
        <v>28.038000000000004</v>
      </c>
      <c r="L7" s="47">
        <v>8411</v>
      </c>
      <c r="M7" s="92"/>
      <c r="N7" s="31">
        <f>+L7/K7</f>
        <v>299.98573364719306</v>
      </c>
      <c r="O7" s="31">
        <v>3334</v>
      </c>
      <c r="P7" s="31">
        <f>+O7/K7</f>
        <v>118.91005064555245</v>
      </c>
      <c r="Q7" s="62">
        <f>+N7-P7</f>
        <v>181.0756830016406</v>
      </c>
      <c r="R7" s="32">
        <f>+O7/L7</f>
        <v>0.3963856854119605</v>
      </c>
      <c r="S7" s="68">
        <f>+J7/K7</f>
        <v>1086.793993865468</v>
      </c>
      <c r="T7" s="62">
        <f>+J7/L7</f>
        <v>3.622818927594816</v>
      </c>
      <c r="U7" s="63">
        <f>+J7/O7</f>
        <v>9.139631073785242</v>
      </c>
      <c r="V7" s="92"/>
    </row>
    <row r="8" spans="1:22" ht="21" customHeight="1">
      <c r="A8" s="91"/>
      <c r="B8" s="10" t="s">
        <v>8</v>
      </c>
      <c r="C8" s="33" t="s">
        <v>6</v>
      </c>
      <c r="D8" s="31">
        <v>33208.63</v>
      </c>
      <c r="E8" s="67">
        <v>37621</v>
      </c>
      <c r="F8" s="20">
        <f>2681-872+86+338</f>
        <v>2233</v>
      </c>
      <c r="G8" s="20">
        <v>872</v>
      </c>
      <c r="H8" s="20">
        <f>195+1306</f>
        <v>1501</v>
      </c>
      <c r="I8" s="20">
        <v>698</v>
      </c>
      <c r="J8" s="31">
        <f>+D8+H8+I8-F8-G8</f>
        <v>32302.629999999997</v>
      </c>
      <c r="K8" s="31">
        <v>23.95</v>
      </c>
      <c r="L8" s="47">
        <v>10253</v>
      </c>
      <c r="M8" s="92"/>
      <c r="N8" s="31">
        <f>+L8/K8</f>
        <v>428.10020876826724</v>
      </c>
      <c r="O8" s="31">
        <f>3136+1574</f>
        <v>4710</v>
      </c>
      <c r="P8" s="31">
        <f>+O8/K8</f>
        <v>196.65970772442589</v>
      </c>
      <c r="Q8" s="62">
        <f>+N8-P8</f>
        <v>231.44050104384135</v>
      </c>
      <c r="R8" s="32">
        <f>+O8/L8</f>
        <v>0.4593777430995806</v>
      </c>
      <c r="S8" s="68">
        <f>+J8/K8</f>
        <v>1348.7528183716074</v>
      </c>
      <c r="T8" s="62">
        <f>+J8/L8</f>
        <v>3.150553984199746</v>
      </c>
      <c r="U8" s="63">
        <f>+J8/O8</f>
        <v>6.858307855626326</v>
      </c>
      <c r="V8" s="92"/>
    </row>
    <row r="9" spans="1:22" ht="21" customHeight="1">
      <c r="A9" s="91"/>
      <c r="B9" s="15" t="s">
        <v>33</v>
      </c>
      <c r="C9" s="86" t="s">
        <v>2</v>
      </c>
      <c r="D9" s="48">
        <v>55164.76</v>
      </c>
      <c r="E9" s="69">
        <v>37346</v>
      </c>
      <c r="F9" s="21">
        <f>457+2005+2553+114</f>
        <v>5129</v>
      </c>
      <c r="G9" s="21">
        <v>27249</v>
      </c>
      <c r="H9" s="21">
        <f>1219+100+1355+10962+267</f>
        <v>13903</v>
      </c>
      <c r="I9" s="21">
        <f>1727+1128</f>
        <v>2855</v>
      </c>
      <c r="J9" s="48">
        <f>+D9+H9+I9-F9-G9</f>
        <v>39544.76000000001</v>
      </c>
      <c r="K9" s="48">
        <v>101.136</v>
      </c>
      <c r="L9" s="52">
        <v>22845</v>
      </c>
      <c r="M9" s="92"/>
      <c r="N9" s="48">
        <f>+L9/K9*C3</f>
        <v>358.88776332134825</v>
      </c>
      <c r="O9" s="48">
        <f>2914+13470-12694+860</f>
        <v>4550</v>
      </c>
      <c r="P9" s="48">
        <f>+O9/K9*C3</f>
        <v>71.47906864137161</v>
      </c>
      <c r="Q9" s="70">
        <f>+N9-P9</f>
        <v>287.40869467997663</v>
      </c>
      <c r="R9" s="71">
        <f>+O9/L9</f>
        <v>0.19916830816371198</v>
      </c>
      <c r="S9" s="72">
        <f>+J9/K9*C3</f>
        <v>621.235739438806</v>
      </c>
      <c r="T9" s="70">
        <f>+J9/L9</f>
        <v>1.7310028452615456</v>
      </c>
      <c r="U9" s="73">
        <f>+J9/O9</f>
        <v>8.691156043956045</v>
      </c>
      <c r="V9" s="92"/>
    </row>
    <row r="10" spans="1:22" ht="21" customHeight="1" thickBot="1">
      <c r="A10" s="91"/>
      <c r="B10" s="20" t="s">
        <v>50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92"/>
      <c r="N10" s="68"/>
      <c r="O10" s="20"/>
      <c r="P10" s="20"/>
      <c r="Q10" s="20"/>
      <c r="R10" s="20"/>
      <c r="S10" s="61">
        <f>MEDIAN(S5:S9)</f>
        <v>621.235739438806</v>
      </c>
      <c r="T10" s="62">
        <f>MEDIAN(T5:T9)</f>
        <v>1.7310028452615456</v>
      </c>
      <c r="U10" s="63">
        <f>MEDIAN(U5:U9)</f>
        <v>8.691156043956045</v>
      </c>
      <c r="V10" s="92"/>
    </row>
    <row r="11" spans="1:22" ht="21" customHeight="1" thickBot="1">
      <c r="A11" s="91"/>
      <c r="B11" s="25" t="s">
        <v>11</v>
      </c>
      <c r="C11" s="87" t="s">
        <v>6</v>
      </c>
      <c r="D11" s="26"/>
      <c r="E11" s="56">
        <v>37621</v>
      </c>
      <c r="F11" s="56"/>
      <c r="G11" s="56"/>
      <c r="H11" s="56"/>
      <c r="I11" s="56"/>
      <c r="J11" s="56"/>
      <c r="K11" s="57">
        <v>51.2</v>
      </c>
      <c r="L11" s="28">
        <v>14637</v>
      </c>
      <c r="M11" s="92"/>
      <c r="N11" s="57">
        <f>+L11/K11</f>
        <v>285.87890625</v>
      </c>
      <c r="O11" s="26">
        <v>3137</v>
      </c>
      <c r="P11" s="58">
        <f>+O11/K11</f>
        <v>61.26953125</v>
      </c>
      <c r="Q11" s="58">
        <f>+N11-P11</f>
        <v>224.609375</v>
      </c>
      <c r="R11" s="27">
        <f>+O11/L11</f>
        <v>0.21431987429117988</v>
      </c>
      <c r="S11" s="53">
        <f>+S10*K11</f>
        <v>31807.26985926687</v>
      </c>
      <c r="T11" s="54">
        <f>+T10*L11</f>
        <v>25336.688646093244</v>
      </c>
      <c r="U11" s="55">
        <f>+U10*O11</f>
        <v>27264.156509890116</v>
      </c>
      <c r="V11" s="92"/>
    </row>
    <row r="12" spans="1:22" ht="21" customHeight="1">
      <c r="A12" s="91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92"/>
      <c r="N12" s="20"/>
      <c r="O12" s="20"/>
      <c r="P12" s="20"/>
      <c r="Q12" s="20"/>
      <c r="R12" s="20"/>
      <c r="S12" s="20"/>
      <c r="T12" s="20"/>
      <c r="U12" s="20"/>
      <c r="V12" s="92"/>
    </row>
    <row r="13" spans="1:22" ht="21" customHeight="1">
      <c r="A13" s="91"/>
      <c r="B13" s="1"/>
      <c r="C13" s="100" t="s">
        <v>32</v>
      </c>
      <c r="D13" s="100" t="s">
        <v>23</v>
      </c>
      <c r="E13" s="100" t="s">
        <v>31</v>
      </c>
      <c r="F13" s="100" t="s">
        <v>24</v>
      </c>
      <c r="G13" s="100" t="s">
        <v>30</v>
      </c>
      <c r="H13" s="100" t="s">
        <v>25</v>
      </c>
      <c r="I13" s="100" t="s">
        <v>26</v>
      </c>
      <c r="J13" s="100" t="s">
        <v>27</v>
      </c>
      <c r="K13" s="100" t="s">
        <v>28</v>
      </c>
      <c r="L13" s="100" t="s">
        <v>29</v>
      </c>
      <c r="M13" s="92"/>
      <c r="N13" s="20"/>
      <c r="O13" s="20"/>
      <c r="P13" s="20"/>
      <c r="Q13" s="20"/>
      <c r="R13" s="20"/>
      <c r="S13" s="20"/>
      <c r="T13" s="20"/>
      <c r="U13" s="20"/>
      <c r="V13" s="92"/>
    </row>
    <row r="14" spans="1:22" ht="21" customHeight="1">
      <c r="A14" s="91"/>
      <c r="B14" s="2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92"/>
      <c r="N14" s="20"/>
      <c r="O14" s="20"/>
      <c r="P14" s="20"/>
      <c r="Q14" s="20"/>
      <c r="R14" s="20"/>
      <c r="S14" s="20"/>
      <c r="T14" s="20"/>
      <c r="U14" s="20"/>
      <c r="V14" s="92"/>
    </row>
    <row r="15" spans="1:22" ht="21" customHeight="1">
      <c r="A15" s="91"/>
      <c r="B15" s="5" t="s">
        <v>0</v>
      </c>
      <c r="C15" s="6">
        <f>+D5*GBP</f>
        <v>5372.275182713695</v>
      </c>
      <c r="D15" s="6">
        <f>+J5*GBP</f>
        <v>6352.573879885605</v>
      </c>
      <c r="E15" s="6">
        <f>+K5*1000</f>
        <v>17457</v>
      </c>
      <c r="F15" s="6">
        <f>+L5*GBP</f>
        <v>6793.771846202733</v>
      </c>
      <c r="G15" s="6">
        <f>+N5</f>
        <v>389.17178473980255</v>
      </c>
      <c r="H15" s="6">
        <f>+O5*GBP</f>
        <v>687.9567842389578</v>
      </c>
      <c r="I15" s="7">
        <f>ROUND(+H15/F15,3)</f>
        <v>0.101</v>
      </c>
      <c r="J15" s="6">
        <f>ROUND(+D15/E15*1000,0)</f>
        <v>364</v>
      </c>
      <c r="K15" s="8">
        <f>ROUND(+D15/F15,2)</f>
        <v>0.94</v>
      </c>
      <c r="L15" s="9">
        <f>ROUND(+D15/H15,2)</f>
        <v>9.23</v>
      </c>
      <c r="M15" s="92"/>
      <c r="N15" s="20"/>
      <c r="O15" s="20"/>
      <c r="P15" s="20"/>
      <c r="Q15" s="20"/>
      <c r="R15" s="20"/>
      <c r="S15" s="20"/>
      <c r="T15" s="20"/>
      <c r="U15" s="20"/>
      <c r="V15" s="92"/>
    </row>
    <row r="16" spans="1:22" ht="21" customHeight="1">
      <c r="A16" s="91"/>
      <c r="B16" s="10" t="s">
        <v>3</v>
      </c>
      <c r="C16" s="11">
        <f>+D6</f>
        <v>21906.26</v>
      </c>
      <c r="D16" s="11">
        <f>+J6</f>
        <v>23237.26</v>
      </c>
      <c r="E16" s="11">
        <f>+K6*1000</f>
        <v>39271</v>
      </c>
      <c r="F16" s="11">
        <f>+L6</f>
        <v>15087</v>
      </c>
      <c r="G16" s="11">
        <f>+N6</f>
        <v>384.17661887907104</v>
      </c>
      <c r="H16" s="11">
        <f>+O6</f>
        <v>3288</v>
      </c>
      <c r="I16" s="12">
        <f>ROUND(+H16/F16,3)</f>
        <v>0.218</v>
      </c>
      <c r="J16" s="11">
        <f>ROUND(+D16/E16*1000,0)</f>
        <v>592</v>
      </c>
      <c r="K16" s="13">
        <f>ROUND(+D16/F16,2)</f>
        <v>1.54</v>
      </c>
      <c r="L16" s="14">
        <f>ROUND(+D16/H16,2)</f>
        <v>7.07</v>
      </c>
      <c r="M16" s="92"/>
      <c r="N16" s="20"/>
      <c r="O16" s="20"/>
      <c r="P16" s="20"/>
      <c r="Q16" s="20"/>
      <c r="R16" s="20"/>
      <c r="S16" s="20"/>
      <c r="T16" s="20"/>
      <c r="U16" s="20"/>
      <c r="V16" s="92"/>
    </row>
    <row r="17" spans="1:22" ht="21" customHeight="1">
      <c r="A17" s="91"/>
      <c r="B17" s="10" t="s">
        <v>34</v>
      </c>
      <c r="C17" s="11">
        <f>+D7</f>
        <v>26156.53</v>
      </c>
      <c r="D17" s="11">
        <f>+J7</f>
        <v>30471.53</v>
      </c>
      <c r="E17" s="11">
        <f>+K7*1000</f>
        <v>28038.000000000004</v>
      </c>
      <c r="F17" s="11">
        <f>+L7</f>
        <v>8411</v>
      </c>
      <c r="G17" s="11">
        <f>+N7</f>
        <v>299.98573364719306</v>
      </c>
      <c r="H17" s="11">
        <f>+O7</f>
        <v>3334</v>
      </c>
      <c r="I17" s="12">
        <f>ROUND(+H17/F17,3)</f>
        <v>0.396</v>
      </c>
      <c r="J17" s="11">
        <f>ROUND(+D17/E17*1000,0)</f>
        <v>1087</v>
      </c>
      <c r="K17" s="13">
        <f>ROUND(+D17/F17,2)</f>
        <v>3.62</v>
      </c>
      <c r="L17" s="14">
        <f>ROUND(+D17/H17,2)</f>
        <v>9.14</v>
      </c>
      <c r="M17" s="92"/>
      <c r="N17" s="20"/>
      <c r="O17" s="20"/>
      <c r="P17" s="20"/>
      <c r="Q17" s="20"/>
      <c r="R17" s="20"/>
      <c r="S17" s="20"/>
      <c r="T17" s="20"/>
      <c r="U17" s="20"/>
      <c r="V17" s="92"/>
    </row>
    <row r="18" spans="1:22" ht="21" customHeight="1">
      <c r="A18" s="91"/>
      <c r="B18" s="10" t="s">
        <v>35</v>
      </c>
      <c r="C18" s="11">
        <f>+D8</f>
        <v>33208.63</v>
      </c>
      <c r="D18" s="11">
        <f>+J8</f>
        <v>32302.629999999997</v>
      </c>
      <c r="E18" s="11">
        <f>+K8*1000</f>
        <v>23950</v>
      </c>
      <c r="F18" s="11">
        <f>+L8</f>
        <v>10253</v>
      </c>
      <c r="G18" s="11">
        <f>+N8</f>
        <v>428.10020876826724</v>
      </c>
      <c r="H18" s="11">
        <f>+O8</f>
        <v>4710</v>
      </c>
      <c r="I18" s="12">
        <f>ROUND(+H18/F18,3)</f>
        <v>0.459</v>
      </c>
      <c r="J18" s="11">
        <f>ROUND(+D18/E18*1000,0)</f>
        <v>1349</v>
      </c>
      <c r="K18" s="13">
        <f>ROUND(+D18/F18,2)</f>
        <v>3.15</v>
      </c>
      <c r="L18" s="14">
        <f>ROUND(+D18/H18,2)</f>
        <v>6.86</v>
      </c>
      <c r="M18" s="92"/>
      <c r="N18" s="20"/>
      <c r="O18" s="20"/>
      <c r="P18" s="20"/>
      <c r="Q18" s="20"/>
      <c r="R18" s="20"/>
      <c r="S18" s="20"/>
      <c r="T18" s="20"/>
      <c r="U18" s="20"/>
      <c r="V18" s="92"/>
    </row>
    <row r="19" spans="1:22" ht="21" customHeight="1">
      <c r="A19" s="91"/>
      <c r="B19" s="15" t="s">
        <v>36</v>
      </c>
      <c r="C19" s="16">
        <f>+D9*GBP</f>
        <v>87646.58404829998</v>
      </c>
      <c r="D19" s="16">
        <f>+J9*GBP</f>
        <v>62829.29774388308</v>
      </c>
      <c r="E19" s="16">
        <f>+K9*1000</f>
        <v>101136</v>
      </c>
      <c r="F19" s="16">
        <f>+L9*GBP</f>
        <v>36296.47283126788</v>
      </c>
      <c r="G19" s="16">
        <f>+N9</f>
        <v>358.88776332134825</v>
      </c>
      <c r="H19" s="16">
        <f>+O9*GBP</f>
        <v>7229.10708611376</v>
      </c>
      <c r="I19" s="17">
        <f>ROUND(+H19/F19,3)</f>
        <v>0.199</v>
      </c>
      <c r="J19" s="16">
        <f>ROUND(+D19/E19*1000,0)</f>
        <v>621</v>
      </c>
      <c r="K19" s="18">
        <f>ROUND(+D19/F19,2)</f>
        <v>1.73</v>
      </c>
      <c r="L19" s="19">
        <f>ROUND(+D19/H19,2)</f>
        <v>8.69</v>
      </c>
      <c r="M19" s="92"/>
      <c r="N19" s="20"/>
      <c r="O19" s="20"/>
      <c r="P19" s="20"/>
      <c r="Q19" s="20"/>
      <c r="R19" s="20"/>
      <c r="S19" s="20"/>
      <c r="T19" s="20"/>
      <c r="U19" s="20"/>
      <c r="V19" s="92"/>
    </row>
    <row r="20" spans="1:22" ht="21" customHeight="1">
      <c r="A20" s="91"/>
      <c r="B20" s="15" t="s">
        <v>42</v>
      </c>
      <c r="C20" s="21"/>
      <c r="D20" s="21"/>
      <c r="E20" s="21"/>
      <c r="F20" s="21"/>
      <c r="G20" s="21"/>
      <c r="H20" s="21"/>
      <c r="I20" s="21"/>
      <c r="J20" s="16">
        <f>MEDIAN(J15:J19)</f>
        <v>621</v>
      </c>
      <c r="K20" s="19">
        <f>MEDIAN(K15:K19)</f>
        <v>1.73</v>
      </c>
      <c r="L20" s="19">
        <f>MEDIAN(L15:L19)</f>
        <v>8.69</v>
      </c>
      <c r="M20" s="92"/>
      <c r="N20" s="20"/>
      <c r="O20" s="20"/>
      <c r="P20" s="20"/>
      <c r="Q20" s="20"/>
      <c r="R20" s="20"/>
      <c r="S20" s="20"/>
      <c r="T20" s="20"/>
      <c r="U20" s="20"/>
      <c r="V20" s="92"/>
    </row>
    <row r="21" spans="1:22" ht="21" customHeight="1">
      <c r="A21" s="91"/>
      <c r="B21" s="25" t="str">
        <f>+B11</f>
        <v>T-Mobile</v>
      </c>
      <c r="C21" s="26"/>
      <c r="D21" s="26"/>
      <c r="E21" s="30">
        <f>+K11*1000</f>
        <v>51200</v>
      </c>
      <c r="F21" s="30">
        <f>+L11</f>
        <v>14637</v>
      </c>
      <c r="G21" s="30">
        <f>+N11</f>
        <v>285.87890625</v>
      </c>
      <c r="H21" s="30">
        <f>+O11</f>
        <v>3137</v>
      </c>
      <c r="I21" s="29">
        <f>ROUND(+H21/F21,3)</f>
        <v>0.214</v>
      </c>
      <c r="J21" s="26"/>
      <c r="K21" s="26"/>
      <c r="L21" s="28"/>
      <c r="M21" s="92"/>
      <c r="N21" s="20"/>
      <c r="O21" s="20"/>
      <c r="P21" s="20"/>
      <c r="Q21" s="20"/>
      <c r="R21" s="20"/>
      <c r="S21" s="20"/>
      <c r="T21" s="20"/>
      <c r="U21" s="20"/>
      <c r="V21" s="92"/>
    </row>
    <row r="22" spans="1:22" ht="21" customHeight="1">
      <c r="A22" s="91"/>
      <c r="B22" s="38" t="s">
        <v>39</v>
      </c>
      <c r="C22" s="102" t="s">
        <v>43</v>
      </c>
      <c r="D22" s="102"/>
      <c r="E22" s="102"/>
      <c r="F22" s="39" t="s">
        <v>44</v>
      </c>
      <c r="G22" s="103" t="s">
        <v>45</v>
      </c>
      <c r="H22" s="103"/>
      <c r="I22" s="103"/>
      <c r="J22" s="40" t="s">
        <v>46</v>
      </c>
      <c r="K22" s="102" t="s">
        <v>48</v>
      </c>
      <c r="L22" s="104"/>
      <c r="M22" s="92"/>
      <c r="N22" s="20"/>
      <c r="O22" s="20"/>
      <c r="P22" s="20"/>
      <c r="Q22" s="20"/>
      <c r="R22" s="20"/>
      <c r="S22" s="20"/>
      <c r="T22" s="20"/>
      <c r="U22" s="20"/>
      <c r="V22" s="92"/>
    </row>
    <row r="23" spans="1:22" ht="21" customHeight="1">
      <c r="A23" s="91"/>
      <c r="B23" s="36" t="s">
        <v>39</v>
      </c>
      <c r="C23" s="5" t="s">
        <v>41</v>
      </c>
      <c r="D23" s="41"/>
      <c r="E23" s="42">
        <f>+E21</f>
        <v>51200</v>
      </c>
      <c r="F23" s="43" t="s">
        <v>44</v>
      </c>
      <c r="G23" s="41" t="s">
        <v>38</v>
      </c>
      <c r="H23" s="41"/>
      <c r="I23" s="42">
        <f>+J20</f>
        <v>621</v>
      </c>
      <c r="J23" s="44" t="s">
        <v>46</v>
      </c>
      <c r="K23" s="41" t="s">
        <v>47</v>
      </c>
      <c r="L23" s="45">
        <f>+E23*I23/1000</f>
        <v>31795.2</v>
      </c>
      <c r="M23" s="92"/>
      <c r="N23" s="20"/>
      <c r="O23" s="20"/>
      <c r="P23" s="20"/>
      <c r="Q23" s="20"/>
      <c r="R23" s="20"/>
      <c r="S23" s="20"/>
      <c r="T23" s="20"/>
      <c r="U23" s="20"/>
      <c r="V23" s="92"/>
    </row>
    <row r="24" spans="1:22" ht="21" customHeight="1">
      <c r="A24" s="91"/>
      <c r="B24" s="36" t="s">
        <v>37</v>
      </c>
      <c r="C24" s="10" t="s">
        <v>24</v>
      </c>
      <c r="D24" s="20"/>
      <c r="E24" s="31">
        <f>+F21</f>
        <v>14637</v>
      </c>
      <c r="F24" s="34" t="s">
        <v>44</v>
      </c>
      <c r="G24" s="20" t="s">
        <v>28</v>
      </c>
      <c r="H24" s="20"/>
      <c r="I24" s="46">
        <f>+K20</f>
        <v>1.73</v>
      </c>
      <c r="J24" s="35" t="s">
        <v>46</v>
      </c>
      <c r="K24" s="20" t="s">
        <v>47</v>
      </c>
      <c r="L24" s="47">
        <f>+E24*I24</f>
        <v>25322.01</v>
      </c>
      <c r="M24" s="92"/>
      <c r="N24" s="20"/>
      <c r="O24" s="20"/>
      <c r="P24" s="20"/>
      <c r="Q24" s="20"/>
      <c r="R24" s="20"/>
      <c r="S24" s="20"/>
      <c r="T24" s="20"/>
      <c r="U24" s="20"/>
      <c r="V24" s="92"/>
    </row>
    <row r="25" spans="1:22" ht="21" customHeight="1">
      <c r="A25" s="91"/>
      <c r="B25" s="37"/>
      <c r="C25" s="15" t="s">
        <v>40</v>
      </c>
      <c r="D25" s="21"/>
      <c r="E25" s="48">
        <f>+H21</f>
        <v>3137</v>
      </c>
      <c r="F25" s="49" t="s">
        <v>44</v>
      </c>
      <c r="G25" s="21" t="s">
        <v>29</v>
      </c>
      <c r="H25" s="21"/>
      <c r="I25" s="50">
        <f>+L20</f>
        <v>8.69</v>
      </c>
      <c r="J25" s="51" t="s">
        <v>46</v>
      </c>
      <c r="K25" s="21" t="s">
        <v>47</v>
      </c>
      <c r="L25" s="52">
        <f>+E25*I25</f>
        <v>27260.53</v>
      </c>
      <c r="M25" s="92"/>
      <c r="N25" s="20"/>
      <c r="O25" s="20"/>
      <c r="P25" s="20"/>
      <c r="Q25" s="20"/>
      <c r="R25" s="20"/>
      <c r="S25" s="20"/>
      <c r="T25" s="20"/>
      <c r="U25" s="20"/>
      <c r="V25" s="92"/>
    </row>
    <row r="26" spans="1:22" ht="21" customHeight="1" thickBot="1">
      <c r="A26" s="93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5"/>
      <c r="N26" s="94"/>
      <c r="O26" s="94"/>
      <c r="P26" s="94"/>
      <c r="Q26" s="94"/>
      <c r="R26" s="94"/>
      <c r="S26" s="94"/>
      <c r="T26" s="94"/>
      <c r="U26" s="94"/>
      <c r="V26" s="95"/>
    </row>
    <row r="27" spans="10:15" ht="21" customHeight="1" thickTop="1">
      <c r="J27" s="22"/>
      <c r="K27" s="4"/>
      <c r="L27" s="23"/>
      <c r="N27" s="4"/>
      <c r="O27" s="24"/>
    </row>
    <row r="28" spans="10:15" ht="21" customHeight="1">
      <c r="J28" s="22"/>
      <c r="O28" s="24"/>
    </row>
    <row r="29" spans="10:15" ht="21" customHeight="1">
      <c r="J29" s="22"/>
      <c r="O29" s="24"/>
    </row>
    <row r="30" spans="10:15" ht="21" customHeight="1">
      <c r="J30" s="22"/>
      <c r="K30" s="24"/>
      <c r="L30" s="24"/>
      <c r="N30" s="24"/>
      <c r="O30" s="24"/>
    </row>
    <row r="31" ht="21" customHeight="1">
      <c r="J31" s="22"/>
    </row>
  </sheetData>
  <sheetProtection/>
  <mergeCells count="28">
    <mergeCell ref="K13:K14"/>
    <mergeCell ref="L13:L14"/>
    <mergeCell ref="C22:E22"/>
    <mergeCell ref="G22:I22"/>
    <mergeCell ref="K22:L22"/>
    <mergeCell ref="G13:G14"/>
    <mergeCell ref="H13:H14"/>
    <mergeCell ref="I13:I14"/>
    <mergeCell ref="J13:J14"/>
    <mergeCell ref="C13:C14"/>
    <mergeCell ref="D13:D14"/>
    <mergeCell ref="E13:E14"/>
    <mergeCell ref="F13:F14"/>
    <mergeCell ref="S3:S4"/>
    <mergeCell ref="J3:J4"/>
    <mergeCell ref="K3:K4"/>
    <mergeCell ref="L3:L4"/>
    <mergeCell ref="N3:N4"/>
    <mergeCell ref="F3:F4"/>
    <mergeCell ref="G3:G4"/>
    <mergeCell ref="H3:H4"/>
    <mergeCell ref="I3:I4"/>
    <mergeCell ref="T3:T4"/>
    <mergeCell ref="U3:U4"/>
    <mergeCell ref="O3:O4"/>
    <mergeCell ref="P3:P4"/>
    <mergeCell ref="Q3:Q4"/>
    <mergeCell ref="R3:R4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66"/>
  <colBreaks count="1" manualBreakCount="1">
    <brk id="13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LBBW</dc:creator>
  <cp:keywords/>
  <dc:description/>
  <cp:lastModifiedBy>Microsoft Office-Anwender</cp:lastModifiedBy>
  <cp:lastPrinted>2010-03-02T07:16:18Z</cp:lastPrinted>
  <dcterms:created xsi:type="dcterms:W3CDTF">2002-09-30T12:23:45Z</dcterms:created>
  <dcterms:modified xsi:type="dcterms:W3CDTF">2017-11-30T07:46:55Z</dcterms:modified>
  <cp:category/>
  <cp:version/>
  <cp:contentType/>
  <cp:contentStatus/>
</cp:coreProperties>
</file>