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dennisbrunotte/Documents/Vahlen/Buchprojekte/Bösch_Finanzwirtschaft 4/Website/"/>
    </mc:Choice>
  </mc:AlternateContent>
  <xr:revisionPtr revIDLastSave="0" documentId="8_{7FDE3C7A-909B-0E45-8639-ECBEC07F7B84}" xr6:coauthVersionLast="43" xr6:coauthVersionMax="43" xr10:uidLastSave="{00000000-0000-0000-0000-000000000000}"/>
  <bookViews>
    <workbookView xWindow="19820" yWindow="4640" windowWidth="25300" windowHeight="18320" xr2:uid="{00000000-000D-0000-FFFF-FFFF00000000}"/>
  </bookViews>
  <sheets>
    <sheet name="A Grundlagen" sheetId="1" r:id="rId1"/>
    <sheet name="D und E" sheetId="2" r:id="rId2"/>
    <sheet name="F" sheetId="3" r:id="rId3"/>
    <sheet name="Rechner" sheetId="4" r:id="rId4"/>
  </sheets>
  <externalReferences>
    <externalReference r:id="rId5"/>
  </externalReferences>
  <definedNames>
    <definedName name="_c">'[1]company data'!#REF!</definedName>
    <definedName name="b">'[1]company data'!#REF!</definedName>
    <definedName name="Beginn">'[1]key ratios '!$C$78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2" i="2" l="1"/>
  <c r="G41" i="2"/>
  <c r="G29" i="2"/>
  <c r="G28" i="2"/>
  <c r="F20" i="1"/>
  <c r="C32" i="1"/>
  <c r="K25" i="1"/>
  <c r="D28" i="1" s="1"/>
  <c r="D30" i="1" s="1"/>
  <c r="K26" i="1"/>
  <c r="C29" i="1" s="1"/>
  <c r="D29" i="1"/>
  <c r="E29" i="1"/>
  <c r="F28" i="1"/>
  <c r="G28" i="1"/>
  <c r="H28" i="1"/>
  <c r="H30" i="1" s="1"/>
  <c r="J28" i="1"/>
  <c r="J30" i="1" s="1"/>
  <c r="J29" i="1"/>
  <c r="H29" i="1"/>
  <c r="I29" i="1"/>
  <c r="F13" i="1"/>
  <c r="C33" i="1"/>
  <c r="J27" i="1"/>
  <c r="I27" i="1"/>
  <c r="H27" i="1"/>
  <c r="G27" i="1"/>
  <c r="F27" i="1"/>
  <c r="E27" i="1"/>
  <c r="D27" i="1"/>
  <c r="C27" i="1"/>
  <c r="L27" i="1" s="1"/>
  <c r="L26" i="1"/>
  <c r="L25" i="1"/>
  <c r="K27" i="1"/>
  <c r="H14" i="3"/>
  <c r="G14" i="3"/>
  <c r="E7" i="3"/>
  <c r="F7" i="3" s="1"/>
  <c r="G7" i="3" s="1"/>
  <c r="H7" i="3" s="1"/>
  <c r="I7" i="3" s="1"/>
  <c r="J7" i="3" s="1"/>
  <c r="E6" i="3"/>
  <c r="C7" i="3"/>
  <c r="L7" i="3" s="1"/>
  <c r="M7" i="3" s="1"/>
  <c r="F6" i="3"/>
  <c r="G6" i="3" s="1"/>
  <c r="L6" i="3" s="1"/>
  <c r="M6" i="3" s="1"/>
  <c r="C6" i="3"/>
  <c r="G47" i="2"/>
  <c r="C47" i="2"/>
  <c r="G35" i="2"/>
  <c r="C35" i="2"/>
  <c r="C10" i="4"/>
  <c r="F10" i="4"/>
  <c r="C19" i="4"/>
  <c r="F19" i="4"/>
  <c r="C27" i="4"/>
  <c r="F27" i="4"/>
  <c r="F33" i="4"/>
  <c r="C34" i="4"/>
  <c r="F36" i="4"/>
  <c r="E22" i="2"/>
  <c r="F22" i="2"/>
  <c r="D15" i="2"/>
  <c r="E15" i="2" s="1"/>
  <c r="C16" i="2"/>
  <c r="C7" i="2"/>
  <c r="E13" i="1"/>
  <c r="G22" i="2"/>
  <c r="H22" i="2" s="1"/>
  <c r="I22" i="2" s="1"/>
  <c r="J22" i="2" s="1"/>
  <c r="F15" i="2" l="1"/>
  <c r="E16" i="2"/>
  <c r="D16" i="2"/>
  <c r="C28" i="1"/>
  <c r="C30" i="1" s="1"/>
  <c r="G29" i="1"/>
  <c r="G30" i="1" s="1"/>
  <c r="I28" i="1"/>
  <c r="I30" i="1" s="1"/>
  <c r="F29" i="1"/>
  <c r="F30" i="1" s="1"/>
  <c r="E28" i="1"/>
  <c r="E30" i="1" s="1"/>
  <c r="K22" i="2"/>
  <c r="F16" i="2" l="1"/>
  <c r="G15" i="2"/>
  <c r="K30" i="1"/>
  <c r="L30" i="1" s="1"/>
  <c r="G16" i="2" l="1"/>
  <c r="H16" i="2" s="1"/>
  <c r="I16" i="2"/>
</calcChain>
</file>

<file path=xl/sharedStrings.xml><?xml version="1.0" encoding="utf-8"?>
<sst xmlns="http://schemas.openxmlformats.org/spreadsheetml/2006/main" count="186" uniqueCount="91">
  <si>
    <t>Temperaturverteilung</t>
  </si>
  <si>
    <t>Reiseland 1</t>
  </si>
  <si>
    <t>Reiseland 2</t>
  </si>
  <si>
    <t>Volatilität</t>
  </si>
  <si>
    <t>Jahr</t>
  </si>
  <si>
    <t>Durchschnitt</t>
  </si>
  <si>
    <r>
      <t>Rendite r</t>
    </r>
    <r>
      <rPr>
        <i/>
        <vertAlign val="subscript"/>
        <sz val="10"/>
        <rFont val="Arial"/>
        <family val="2"/>
      </rPr>
      <t>A</t>
    </r>
  </si>
  <si>
    <r>
      <t>Rendite r</t>
    </r>
    <r>
      <rPr>
        <i/>
        <vertAlign val="subscript"/>
        <sz val="10"/>
        <rFont val="Arial"/>
        <family val="2"/>
      </rPr>
      <t>B</t>
    </r>
  </si>
  <si>
    <t>Erwartungswert</t>
  </si>
  <si>
    <t>Normalverteilung</t>
  </si>
  <si>
    <t>1.</t>
  </si>
  <si>
    <t>2.</t>
  </si>
  <si>
    <t>Annuität</t>
  </si>
  <si>
    <t>Kreditbetrag</t>
  </si>
  <si>
    <t>Zinssatz</t>
  </si>
  <si>
    <t>Laufzeit (Jahre)</t>
  </si>
  <si>
    <t>KW</t>
  </si>
  <si>
    <t>Kapitalwert</t>
  </si>
  <si>
    <t>Zahlung</t>
  </si>
  <si>
    <t>Barwerte</t>
  </si>
  <si>
    <t>Mit Excell</t>
  </si>
  <si>
    <t>i  =</t>
  </si>
  <si>
    <t>Interne Rendite</t>
  </si>
  <si>
    <t>Preis einer Anleihe</t>
  </si>
  <si>
    <t>Effektivverzinsung einer Anleihe</t>
  </si>
  <si>
    <t>Valutatag</t>
  </si>
  <si>
    <t>Fälligkeit</t>
  </si>
  <si>
    <t>Kupon</t>
  </si>
  <si>
    <t>Häufigkeit</t>
  </si>
  <si>
    <t>jährlich</t>
  </si>
  <si>
    <t>Anzahl Zinstage</t>
  </si>
  <si>
    <t>actual</t>
  </si>
  <si>
    <t>Rückzahlung</t>
  </si>
  <si>
    <t>Rendite</t>
  </si>
  <si>
    <t>Kurs</t>
  </si>
  <si>
    <t>C10: =KURS(C3;C4;C5;C9;C8;1;4)</t>
  </si>
  <si>
    <t>E10: =RENDITE(F3;F4;F5;F9;100;1;4)</t>
  </si>
  <si>
    <t>Duration</t>
  </si>
  <si>
    <t>C19:=DURATION(C13;C14;C15;C18;1;4)</t>
  </si>
  <si>
    <t>F19:=MDURATION(F13;F14;F15;F18;1;4)</t>
  </si>
  <si>
    <t>Darlehenshöhe</t>
  </si>
  <si>
    <t>Rückzahlungswert</t>
  </si>
  <si>
    <t>Zukünftiger Wert</t>
  </si>
  <si>
    <t>Barwert</t>
  </si>
  <si>
    <t>C27:=RMZ(C18;C19;C16;C17;0)</t>
  </si>
  <si>
    <t>E27:=BW(F18;F19;F16;F15;0)</t>
  </si>
  <si>
    <t xml:space="preserve"> </t>
  </si>
  <si>
    <t>Rendite (Monat)</t>
  </si>
  <si>
    <t>Interner Zinsfuß</t>
  </si>
  <si>
    <t>Laufzeit (Monate)</t>
  </si>
  <si>
    <t>B34:=IKV(C31:C33;0,1)</t>
  </si>
  <si>
    <t>monatlich</t>
  </si>
  <si>
    <t>monatl. Rückzahlung</t>
  </si>
  <si>
    <t>f36:=KAPZ(F33;1;F34;F31;0)</t>
  </si>
  <si>
    <t>Rückzahlung zu</t>
  </si>
  <si>
    <t>actual/actual</t>
  </si>
  <si>
    <t>Mod. Duration</t>
  </si>
  <si>
    <t xml:space="preserve">Kapitalwert </t>
  </si>
  <si>
    <t>A1</t>
  </si>
  <si>
    <t>A2</t>
  </si>
  <si>
    <t>r =</t>
  </si>
  <si>
    <t>Kapitalwert und Annuität</t>
  </si>
  <si>
    <t>Mit Excel</t>
  </si>
  <si>
    <t>Alternative 1</t>
  </si>
  <si>
    <t>Korrelation</t>
  </si>
  <si>
    <t xml:space="preserve">3. </t>
  </si>
  <si>
    <t>Volatilität und Korrelation</t>
  </si>
  <si>
    <t>Kapitel A 5</t>
  </si>
  <si>
    <t>Kapitel 21.3</t>
  </si>
  <si>
    <t>Cashflow Reihe</t>
  </si>
  <si>
    <t>Jahr 1</t>
  </si>
  <si>
    <t>Jahr 2</t>
  </si>
  <si>
    <t>Jahr 3</t>
  </si>
  <si>
    <t>Jahr 4</t>
  </si>
  <si>
    <t>Jahr 5</t>
  </si>
  <si>
    <t>Jahr 6</t>
  </si>
  <si>
    <t>Jahr 7</t>
  </si>
  <si>
    <t>Jahr 8</t>
  </si>
  <si>
    <r>
      <t>Rendite r</t>
    </r>
    <r>
      <rPr>
        <i/>
        <vertAlign val="subscript"/>
        <sz val="10"/>
        <rFont val="Arial"/>
        <family val="2"/>
      </rPr>
      <t>P</t>
    </r>
  </si>
  <si>
    <r>
      <t>Differenz zum Durchschnitt r</t>
    </r>
    <r>
      <rPr>
        <i/>
        <vertAlign val="subscript"/>
        <sz val="10"/>
        <rFont val="Arial"/>
        <family val="2"/>
      </rPr>
      <t>A</t>
    </r>
  </si>
  <si>
    <r>
      <t>Differenz zum Durchschnitt r</t>
    </r>
    <r>
      <rPr>
        <i/>
        <vertAlign val="subscript"/>
        <sz val="10"/>
        <rFont val="Arial"/>
        <family val="2"/>
      </rPr>
      <t>B</t>
    </r>
  </si>
  <si>
    <t>Summe</t>
  </si>
  <si>
    <t>Kovarianz</t>
  </si>
  <si>
    <t xml:space="preserve">Produkt der Differenzen </t>
  </si>
  <si>
    <t>Ermittelt über Excel-Formeln:</t>
  </si>
  <si>
    <t>Wahrscheinlichkeit, dass Rendite kleiner als</t>
  </si>
  <si>
    <t>Kapitel 23.1</t>
  </si>
  <si>
    <t>Kapitel 23.4</t>
  </si>
  <si>
    <t>Kapitel 24</t>
  </si>
  <si>
    <t>Kapitel 29 und 30</t>
  </si>
  <si>
    <t>Kapitel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</si>
</sst>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"/>
    <numFmt numFmtId="165" formatCode="0.0%"/>
    <numFmt numFmtId="166" formatCode="_-* #,##0\ _€_-;\-* #,##0\ _€_-;_-* &quot;-&quot;??\ _€_-;_-@_-"/>
    <numFmt numFmtId="167" formatCode="#,##0.0\ &quot;€&quot;;[Red]\-#,##0.0\ &quot;€&quot;"/>
    <numFmt numFmtId="168" formatCode="#,##0.0"/>
    <numFmt numFmtId="169" formatCode="0.0"/>
    <numFmt numFmtId="170" formatCode="@\ *."/>
    <numFmt numFmtId="171" formatCode="\ \ \ \ \ \ \ \ \ @"/>
    <numFmt numFmtId="172" formatCode="\ \ \ @\ *."/>
    <numFmt numFmtId="173" formatCode="\ @\ *."/>
    <numFmt numFmtId="174" formatCode="0.0000"/>
  </numFmts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vertAlign val="subscript"/>
      <sz val="10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0">
    <xf numFmtId="0" fontId="0" fillId="0" borderId="0"/>
    <xf numFmtId="170" fontId="13" fillId="0" borderId="0"/>
    <xf numFmtId="173" fontId="13" fillId="0" borderId="0"/>
    <xf numFmtId="172" fontId="13" fillId="0" borderId="0"/>
    <xf numFmtId="171" fontId="13" fillId="0" borderId="0">
      <alignment horizontal="center"/>
    </xf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</cellStyleXfs>
  <cellXfs count="141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11" fillId="2" borderId="0" xfId="0" applyFont="1" applyFill="1"/>
    <xf numFmtId="0" fontId="12" fillId="2" borderId="0" xfId="0" applyFont="1" applyFill="1"/>
    <xf numFmtId="0" fontId="0" fillId="2" borderId="0" xfId="0" applyFill="1"/>
    <xf numFmtId="165" fontId="0" fillId="2" borderId="0" xfId="7" applyNumberFormat="1" applyFont="1" applyFill="1"/>
    <xf numFmtId="0" fontId="4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9" fontId="0" fillId="2" borderId="0" xfId="7" applyNumberFormat="1" applyFont="1" applyFill="1"/>
    <xf numFmtId="10" fontId="0" fillId="2" borderId="0" xfId="0" applyNumberFormat="1" applyFill="1" applyAlignment="1">
      <alignment horizontal="center"/>
    </xf>
    <xf numFmtId="166" fontId="0" fillId="2" borderId="0" xfId="6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165" fontId="0" fillId="2" borderId="0" xfId="7" applyNumberFormat="1" applyFont="1" applyFill="1" applyAlignment="1">
      <alignment horizontal="center"/>
    </xf>
    <xf numFmtId="167" fontId="0" fillId="2" borderId="0" xfId="0" applyNumberFormat="1" applyFill="1"/>
    <xf numFmtId="2" fontId="0" fillId="2" borderId="0" xfId="0" applyNumberFormat="1" applyFill="1"/>
    <xf numFmtId="2" fontId="3" fillId="3" borderId="0" xfId="0" applyNumberFormat="1" applyFont="1" applyFill="1" applyAlignment="1">
      <alignment horizontal="center"/>
    </xf>
    <xf numFmtId="0" fontId="0" fillId="2" borderId="1" xfId="0" applyFill="1" applyBorder="1"/>
    <xf numFmtId="2" fontId="0" fillId="2" borderId="0" xfId="0" applyNumberFormat="1" applyFill="1" applyAlignment="1">
      <alignment horizontal="center"/>
    </xf>
    <xf numFmtId="168" fontId="3" fillId="3" borderId="0" xfId="6" applyNumberFormat="1" applyFont="1" applyFill="1" applyAlignment="1">
      <alignment horizontal="center"/>
    </xf>
    <xf numFmtId="0" fontId="0" fillId="2" borderId="0" xfId="0" applyFill="1" applyAlignment="1">
      <alignment vertical="center"/>
    </xf>
    <xf numFmtId="165" fontId="0" fillId="2" borderId="0" xfId="7" applyNumberFormat="1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9" fontId="0" fillId="2" borderId="0" xfId="7" applyFont="1" applyFill="1"/>
    <xf numFmtId="165" fontId="3" fillId="3" borderId="0" xfId="7" applyNumberFormat="1" applyFont="1" applyFill="1" applyAlignment="1">
      <alignment horizontal="center"/>
    </xf>
    <xf numFmtId="10" fontId="3" fillId="3" borderId="0" xfId="7" applyNumberFormat="1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3" fillId="3" borderId="0" xfId="0" applyNumberFormat="1" applyFont="1" applyFill="1" applyAlignment="1">
      <alignment horizontal="center"/>
    </xf>
    <xf numFmtId="0" fontId="3" fillId="2" borderId="4" xfId="0" applyFont="1" applyFill="1" applyBorder="1"/>
    <xf numFmtId="0" fontId="0" fillId="0" borderId="0" xfId="0" applyFill="1" applyBorder="1"/>
    <xf numFmtId="0" fontId="3" fillId="2" borderId="5" xfId="0" applyFont="1" applyFill="1" applyBorder="1"/>
    <xf numFmtId="0" fontId="14" fillId="2" borderId="6" xfId="0" applyFont="1" applyFill="1" applyBorder="1" applyAlignment="1">
      <alignment horizontal="right"/>
    </xf>
    <xf numFmtId="0" fontId="3" fillId="2" borderId="7" xfId="0" applyFont="1" applyFill="1" applyBorder="1"/>
    <xf numFmtId="0" fontId="15" fillId="0" borderId="0" xfId="0" applyFont="1"/>
    <xf numFmtId="0" fontId="15" fillId="0" borderId="0" xfId="0" applyFont="1" applyFill="1" applyBorder="1"/>
    <xf numFmtId="164" fontId="15" fillId="0" borderId="0" xfId="0" applyNumberFormat="1" applyFont="1" applyFill="1" applyBorder="1"/>
    <xf numFmtId="0" fontId="9" fillId="0" borderId="0" xfId="0" applyFont="1"/>
    <xf numFmtId="0" fontId="9" fillId="0" borderId="0" xfId="0" applyFont="1" applyFill="1" applyBorder="1"/>
    <xf numFmtId="14" fontId="0" fillId="2" borderId="8" xfId="0" applyNumberFormat="1" applyFill="1" applyBorder="1"/>
    <xf numFmtId="14" fontId="0" fillId="2" borderId="6" xfId="0" applyNumberFormat="1" applyFill="1" applyBorder="1"/>
    <xf numFmtId="10" fontId="1" fillId="2" borderId="6" xfId="7" applyNumberFormat="1" applyFill="1" applyBorder="1"/>
    <xf numFmtId="10" fontId="1" fillId="2" borderId="6" xfId="7" applyNumberFormat="1" applyFont="1" applyFill="1" applyBorder="1" applyAlignment="1">
      <alignment horizontal="right"/>
    </xf>
    <xf numFmtId="10" fontId="1" fillId="2" borderId="9" xfId="7" applyNumberFormat="1" applyFill="1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3" fontId="1" fillId="2" borderId="8" xfId="6" applyNumberFormat="1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10" fontId="1" fillId="2" borderId="6" xfId="7" applyNumberFormat="1" applyFill="1" applyBorder="1" applyAlignment="1">
      <alignment horizontal="right"/>
    </xf>
    <xf numFmtId="0" fontId="0" fillId="2" borderId="9" xfId="0" applyFill="1" applyBorder="1" applyAlignment="1">
      <alignment horizontal="right" vertical="center"/>
    </xf>
    <xf numFmtId="0" fontId="0" fillId="2" borderId="4" xfId="0" applyFill="1" applyBorder="1"/>
    <xf numFmtId="0" fontId="0" fillId="2" borderId="8" xfId="0" applyFill="1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9" xfId="0" applyFill="1" applyBorder="1"/>
    <xf numFmtId="0" fontId="9" fillId="2" borderId="0" xfId="0" applyFont="1" applyFill="1" applyBorder="1"/>
    <xf numFmtId="2" fontId="15" fillId="3" borderId="10" xfId="0" applyNumberFormat="1" applyFont="1" applyFill="1" applyBorder="1" applyAlignment="1">
      <alignment horizontal="center"/>
    </xf>
    <xf numFmtId="2" fontId="3" fillId="3" borderId="10" xfId="0" applyNumberFormat="1" applyFont="1" applyFill="1" applyBorder="1" applyAlignment="1">
      <alignment horizontal="right"/>
    </xf>
    <xf numFmtId="0" fontId="14" fillId="2" borderId="11" xfId="0" applyFont="1" applyFill="1" applyBorder="1"/>
    <xf numFmtId="14" fontId="14" fillId="2" borderId="12" xfId="0" applyNumberFormat="1" applyFont="1" applyFill="1" applyBorder="1"/>
    <xf numFmtId="0" fontId="14" fillId="2" borderId="13" xfId="0" applyFont="1" applyFill="1" applyBorder="1"/>
    <xf numFmtId="14" fontId="14" fillId="2" borderId="14" xfId="0" applyNumberFormat="1" applyFont="1" applyFill="1" applyBorder="1"/>
    <xf numFmtId="10" fontId="14" fillId="2" borderId="14" xfId="7" applyNumberFormat="1" applyFont="1" applyFill="1" applyBorder="1"/>
    <xf numFmtId="10" fontId="14" fillId="2" borderId="14" xfId="7" applyNumberFormat="1" applyFont="1" applyFill="1" applyBorder="1" applyAlignment="1">
      <alignment horizontal="right"/>
    </xf>
    <xf numFmtId="0" fontId="14" fillId="2" borderId="14" xfId="0" applyFont="1" applyFill="1" applyBorder="1" applyAlignment="1">
      <alignment horizontal="right"/>
    </xf>
    <xf numFmtId="2" fontId="14" fillId="2" borderId="14" xfId="7" applyNumberFormat="1" applyFont="1" applyFill="1" applyBorder="1"/>
    <xf numFmtId="2" fontId="3" fillId="3" borderId="15" xfId="0" applyNumberFormat="1" applyFont="1" applyFill="1" applyBorder="1" applyAlignment="1">
      <alignment horizontal="left"/>
    </xf>
    <xf numFmtId="0" fontId="3" fillId="2" borderId="0" xfId="0" applyFont="1" applyFill="1" applyBorder="1"/>
    <xf numFmtId="169" fontId="14" fillId="2" borderId="14" xfId="7" applyNumberFormat="1" applyFont="1" applyFill="1" applyBorder="1"/>
    <xf numFmtId="2" fontId="15" fillId="3" borderId="10" xfId="0" applyNumberFormat="1" applyFont="1" applyFill="1" applyBorder="1" applyAlignment="1">
      <alignment horizontal="right"/>
    </xf>
    <xf numFmtId="10" fontId="15" fillId="3" borderId="10" xfId="7" applyNumberFormat="1" applyFont="1" applyFill="1" applyBorder="1" applyAlignment="1">
      <alignment horizontal="right"/>
    </xf>
    <xf numFmtId="2" fontId="3" fillId="3" borderId="16" xfId="0" applyNumberFormat="1" applyFont="1" applyFill="1" applyBorder="1" applyAlignment="1">
      <alignment horizontal="left"/>
    </xf>
    <xf numFmtId="14" fontId="0" fillId="2" borderId="12" xfId="0" applyNumberFormat="1" applyFill="1" applyBorder="1"/>
    <xf numFmtId="14" fontId="0" fillId="2" borderId="14" xfId="0" applyNumberFormat="1" applyFill="1" applyBorder="1"/>
    <xf numFmtId="10" fontId="1" fillId="2" borderId="14" xfId="7" applyNumberFormat="1" applyFill="1" applyBorder="1"/>
    <xf numFmtId="10" fontId="1" fillId="2" borderId="14" xfId="7" applyNumberFormat="1" applyFont="1" applyFill="1" applyBorder="1" applyAlignment="1">
      <alignment horizontal="right"/>
    </xf>
    <xf numFmtId="10" fontId="1" fillId="2" borderId="17" xfId="7" applyNumberFormat="1" applyFill="1" applyBorder="1"/>
    <xf numFmtId="0" fontId="0" fillId="2" borderId="0" xfId="0" applyFill="1" applyBorder="1" applyAlignment="1">
      <alignment horizontal="center"/>
    </xf>
    <xf numFmtId="3" fontId="0" fillId="2" borderId="0" xfId="0" applyNumberForma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165" fontId="0" fillId="2" borderId="0" xfId="7" applyNumberFormat="1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right"/>
    </xf>
    <xf numFmtId="43" fontId="15" fillId="3" borderId="10" xfId="6" applyFont="1" applyFill="1" applyBorder="1" applyAlignment="1">
      <alignment horizontal="center"/>
    </xf>
    <xf numFmtId="2" fontId="15" fillId="3" borderId="0" xfId="0" applyNumberFormat="1" applyFont="1" applyFill="1" applyAlignment="1">
      <alignment horizontal="left"/>
    </xf>
    <xf numFmtId="8" fontId="0" fillId="0" borderId="0" xfId="0" applyNumberFormat="1"/>
    <xf numFmtId="0" fontId="19" fillId="2" borderId="0" xfId="0" applyFont="1" applyFill="1"/>
    <xf numFmtId="0" fontId="9" fillId="0" borderId="0" xfId="9" applyFont="1"/>
    <xf numFmtId="10" fontId="0" fillId="0" borderId="0" xfId="8" applyNumberFormat="1" applyFont="1" applyAlignment="1">
      <alignment horizontal="center"/>
    </xf>
    <xf numFmtId="0" fontId="8" fillId="0" borderId="0" xfId="9" applyFont="1"/>
    <xf numFmtId="0" fontId="9" fillId="2" borderId="0" xfId="0" applyFont="1" applyFill="1" applyAlignment="1">
      <alignment horizontal="right"/>
    </xf>
    <xf numFmtId="9" fontId="0" fillId="2" borderId="0" xfId="7" applyNumberFormat="1" applyFont="1" applyFill="1" applyAlignment="1">
      <alignment horizontal="right"/>
    </xf>
    <xf numFmtId="10" fontId="0" fillId="2" borderId="0" xfId="0" applyNumberFormat="1" applyFill="1" applyAlignment="1">
      <alignment horizontal="right"/>
    </xf>
    <xf numFmtId="10" fontId="3" fillId="3" borderId="0" xfId="7" applyNumberFormat="1" applyFont="1" applyFill="1" applyAlignment="1">
      <alignment horizontal="right"/>
    </xf>
    <xf numFmtId="165" fontId="0" fillId="2" borderId="0" xfId="7" applyNumberFormat="1" applyFont="1" applyFill="1" applyAlignment="1">
      <alignment horizontal="right"/>
    </xf>
    <xf numFmtId="10" fontId="0" fillId="0" borderId="0" xfId="8" applyNumberFormat="1" applyFont="1" applyAlignment="1">
      <alignment horizontal="right"/>
    </xf>
    <xf numFmtId="174" fontId="9" fillId="2" borderId="0" xfId="7" applyNumberFormat="1" applyFont="1" applyFill="1" applyAlignment="1">
      <alignment horizontal="right"/>
    </xf>
    <xf numFmtId="174" fontId="0" fillId="2" borderId="0" xfId="7" applyNumberFormat="1" applyFont="1" applyFill="1" applyAlignment="1">
      <alignment horizontal="right"/>
    </xf>
    <xf numFmtId="174" fontId="3" fillId="3" borderId="0" xfId="0" applyNumberFormat="1" applyFont="1" applyFill="1" applyAlignment="1">
      <alignment horizontal="center"/>
    </xf>
    <xf numFmtId="0" fontId="9" fillId="2" borderId="11" xfId="0" applyFont="1" applyFill="1" applyBorder="1"/>
    <xf numFmtId="174" fontId="3" fillId="3" borderId="12" xfId="0" applyNumberFormat="1" applyFont="1" applyFill="1" applyBorder="1" applyAlignment="1">
      <alignment horizontal="center"/>
    </xf>
    <xf numFmtId="0" fontId="9" fillId="2" borderId="15" xfId="0" applyFont="1" applyFill="1" applyBorder="1"/>
    <xf numFmtId="174" fontId="3" fillId="3" borderId="19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0" fillId="2" borderId="0" xfId="0" applyFill="1" applyAlignment="1">
      <alignment horizontal="left"/>
    </xf>
    <xf numFmtId="0" fontId="5" fillId="2" borderId="0" xfId="0" applyFont="1" applyFill="1" applyAlignment="1">
      <alignment horizontal="center"/>
    </xf>
    <xf numFmtId="0" fontId="3" fillId="2" borderId="13" xfId="0" applyFont="1" applyFill="1" applyBorder="1"/>
    <xf numFmtId="0" fontId="3" fillId="2" borderId="0" xfId="0" applyFont="1" applyFill="1" applyBorder="1"/>
    <xf numFmtId="0" fontId="14" fillId="2" borderId="0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right"/>
    </xf>
    <xf numFmtId="169" fontId="14" fillId="2" borderId="0" xfId="0" applyNumberFormat="1" applyFont="1" applyFill="1" applyBorder="1" applyAlignment="1">
      <alignment horizontal="right"/>
    </xf>
    <xf numFmtId="169" fontId="14" fillId="2" borderId="14" xfId="0" applyNumberFormat="1" applyFont="1" applyFill="1" applyBorder="1" applyAlignment="1">
      <alignment horizontal="right"/>
    </xf>
    <xf numFmtId="0" fontId="11" fillId="2" borderId="0" xfId="0" applyFont="1" applyFill="1"/>
    <xf numFmtId="0" fontId="3" fillId="2" borderId="11" xfId="0" applyFont="1" applyFill="1" applyBorder="1"/>
    <xf numFmtId="0" fontId="3" fillId="2" borderId="18" xfId="0" applyFont="1" applyFill="1" applyBorder="1"/>
    <xf numFmtId="14" fontId="14" fillId="2" borderId="18" xfId="0" applyNumberFormat="1" applyFont="1" applyFill="1" applyBorder="1" applyAlignment="1">
      <alignment horizontal="right"/>
    </xf>
    <xf numFmtId="14" fontId="14" fillId="2" borderId="12" xfId="0" applyNumberFormat="1" applyFont="1" applyFill="1" applyBorder="1" applyAlignment="1">
      <alignment horizontal="right"/>
    </xf>
    <xf numFmtId="14" fontId="14" fillId="2" borderId="0" xfId="0" applyNumberFormat="1" applyFont="1" applyFill="1" applyBorder="1" applyAlignment="1">
      <alignment horizontal="right"/>
    </xf>
    <xf numFmtId="14" fontId="14" fillId="2" borderId="14" xfId="0" applyNumberFormat="1" applyFont="1" applyFill="1" applyBorder="1" applyAlignment="1">
      <alignment horizontal="right"/>
    </xf>
    <xf numFmtId="165" fontId="14" fillId="2" borderId="0" xfId="7" applyNumberFormat="1" applyFont="1" applyFill="1" applyBorder="1" applyAlignment="1">
      <alignment horizontal="right"/>
    </xf>
    <xf numFmtId="165" fontId="14" fillId="2" borderId="14" xfId="7" applyNumberFormat="1" applyFont="1" applyFill="1" applyBorder="1" applyAlignment="1">
      <alignment horizontal="right"/>
    </xf>
    <xf numFmtId="10" fontId="14" fillId="2" borderId="0" xfId="7" applyNumberFormat="1" applyFont="1" applyFill="1" applyBorder="1" applyAlignment="1">
      <alignment horizontal="right"/>
    </xf>
    <xf numFmtId="10" fontId="14" fillId="2" borderId="14" xfId="7" applyNumberFormat="1" applyFont="1" applyFill="1" applyBorder="1" applyAlignment="1">
      <alignment horizontal="right"/>
    </xf>
    <xf numFmtId="0" fontId="14" fillId="2" borderId="13" xfId="0" applyFont="1" applyFill="1" applyBorder="1"/>
    <xf numFmtId="0" fontId="14" fillId="2" borderId="0" xfId="0" applyFont="1" applyFill="1" applyBorder="1"/>
    <xf numFmtId="2" fontId="3" fillId="3" borderId="1" xfId="0" applyNumberFormat="1" applyFont="1" applyFill="1" applyBorder="1" applyAlignment="1">
      <alignment horizontal="right"/>
    </xf>
    <xf numFmtId="2" fontId="3" fillId="3" borderId="3" xfId="0" applyNumberFormat="1" applyFont="1" applyFill="1" applyBorder="1" applyAlignment="1">
      <alignment horizontal="right"/>
    </xf>
    <xf numFmtId="165" fontId="3" fillId="3" borderId="1" xfId="7" applyNumberFormat="1" applyFont="1" applyFill="1" applyBorder="1" applyAlignment="1">
      <alignment horizontal="right"/>
    </xf>
    <xf numFmtId="165" fontId="3" fillId="3" borderId="3" xfId="7" applyNumberFormat="1" applyFont="1" applyFill="1" applyBorder="1" applyAlignment="1">
      <alignment horizontal="right"/>
    </xf>
    <xf numFmtId="0" fontId="14" fillId="2" borderId="11" xfId="0" applyFont="1" applyFill="1" applyBorder="1"/>
    <xf numFmtId="0" fontId="14" fillId="2" borderId="18" xfId="0" applyFont="1" applyFill="1" applyBorder="1"/>
    <xf numFmtId="0" fontId="0" fillId="2" borderId="0" xfId="0" applyFill="1" applyBorder="1" applyAlignment="1">
      <alignment horizontal="center"/>
    </xf>
  </cellXfs>
  <cellStyles count="10">
    <cellStyle name="0mitP" xfId="1" xr:uid="{00000000-0005-0000-0000-000000000000}"/>
    <cellStyle name="1mitP" xfId="2" xr:uid="{00000000-0005-0000-0000-000001000000}"/>
    <cellStyle name="3mitP" xfId="3" xr:uid="{00000000-0005-0000-0000-000002000000}"/>
    <cellStyle name="9ohneP" xfId="4" xr:uid="{00000000-0005-0000-0000-000003000000}"/>
    <cellStyle name="Euro" xfId="5" xr:uid="{00000000-0005-0000-0000-000005000000}"/>
    <cellStyle name="Komma" xfId="6" builtinId="3"/>
    <cellStyle name="Prozent" xfId="7" builtinId="5"/>
    <cellStyle name="Prozent 2" xfId="8" xr:uid="{00000000-0005-0000-0000-000007000000}"/>
    <cellStyle name="Standard" xfId="0" builtinId="0"/>
    <cellStyle name="Standard 2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Prof.%20Dr.%20B&#246;sch/Eigene%20Dateien/fhs/finanzierung%20B&#246;sch/WS%202006-07/jahresabschlussanalyse/zahlen%20f&#252;r%20jahresabschl&#252;sse%20aus%20datastre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ratios "/>
      <sheetName val="company data"/>
      <sheetName val="cash flow MK AktKurs"/>
      <sheetName val="ebit sales bmw JÜ-FCF"/>
      <sheetName val="ebit sales vow andere"/>
      <sheetName val="coverage ratios"/>
      <sheetName val="EK FK"/>
      <sheetName val="bilanz, inv, wc"/>
      <sheetName val="bedeutung jü PTBV"/>
      <sheetName val="operativ"/>
      <sheetName val="renditen"/>
      <sheetName val="Tabel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52"/>
  <sheetViews>
    <sheetView tabSelected="1" zoomScale="145" workbookViewId="0">
      <selection activeCell="F20" sqref="F20"/>
    </sheetView>
  </sheetViews>
  <sheetFormatPr baseColWidth="10" defaultColWidth="11.5" defaultRowHeight="16"/>
  <cols>
    <col min="1" max="1" width="4.1640625" style="95" customWidth="1"/>
    <col min="2" max="2" width="29.1640625" style="6" customWidth="1"/>
    <col min="3" max="3" width="8.1640625" style="6" customWidth="1"/>
    <col min="4" max="4" width="8.5" style="6" customWidth="1"/>
    <col min="5" max="5" width="9.5" style="6" customWidth="1"/>
    <col min="6" max="6" width="8.83203125" style="6" customWidth="1"/>
    <col min="7" max="7" width="8.5" style="6" customWidth="1"/>
    <col min="8" max="8" width="7.5" style="6" customWidth="1"/>
    <col min="9" max="9" width="8" style="6" customWidth="1"/>
    <col min="10" max="10" width="7.5" style="6" customWidth="1"/>
    <col min="11" max="11" width="12.33203125" style="6" bestFit="1" customWidth="1"/>
    <col min="12" max="12" width="9.5" style="6" bestFit="1" customWidth="1"/>
    <col min="13" max="16384" width="11.5" style="6"/>
  </cols>
  <sheetData>
    <row r="1" spans="1:6">
      <c r="B1" s="8" t="s">
        <v>67</v>
      </c>
    </row>
    <row r="2" spans="1:6">
      <c r="A2" s="95" t="s">
        <v>10</v>
      </c>
      <c r="B2" s="4" t="s">
        <v>0</v>
      </c>
      <c r="C2" s="5"/>
      <c r="D2" s="5"/>
      <c r="E2" s="1" t="s">
        <v>1</v>
      </c>
      <c r="F2" s="1" t="s">
        <v>2</v>
      </c>
    </row>
    <row r="3" spans="1:6">
      <c r="B3" s="2"/>
      <c r="C3" s="2"/>
      <c r="D3" s="2"/>
      <c r="E3" s="3">
        <v>25</v>
      </c>
      <c r="F3" s="3">
        <v>25</v>
      </c>
    </row>
    <row r="4" spans="1:6">
      <c r="B4" s="2"/>
      <c r="C4" s="2"/>
      <c r="D4" s="2"/>
      <c r="E4" s="3">
        <v>30</v>
      </c>
      <c r="F4" s="3">
        <v>26</v>
      </c>
    </row>
    <row r="5" spans="1:6">
      <c r="B5" s="2"/>
      <c r="C5" s="2"/>
      <c r="D5" s="2"/>
      <c r="E5" s="3">
        <v>27</v>
      </c>
      <c r="F5" s="3">
        <v>27</v>
      </c>
    </row>
    <row r="6" spans="1:6">
      <c r="B6" s="2"/>
      <c r="C6" s="2"/>
      <c r="D6" s="2"/>
      <c r="E6" s="3">
        <v>17</v>
      </c>
      <c r="F6" s="3">
        <v>23</v>
      </c>
    </row>
    <row r="7" spans="1:6">
      <c r="B7" s="2"/>
      <c r="C7" s="2"/>
      <c r="D7" s="2"/>
      <c r="E7" s="3">
        <v>18</v>
      </c>
      <c r="F7" s="3">
        <v>28</v>
      </c>
    </row>
    <row r="8" spans="1:6">
      <c r="B8" s="2"/>
      <c r="C8" s="2"/>
      <c r="D8" s="2"/>
      <c r="E8" s="3">
        <v>35</v>
      </c>
      <c r="F8" s="3">
        <v>25</v>
      </c>
    </row>
    <row r="9" spans="1:6">
      <c r="B9" s="2"/>
      <c r="C9" s="2"/>
      <c r="D9" s="2"/>
      <c r="E9" s="3">
        <v>22</v>
      </c>
      <c r="F9" s="3">
        <v>22</v>
      </c>
    </row>
    <row r="10" spans="1:6">
      <c r="B10" s="2"/>
      <c r="C10" s="2"/>
      <c r="D10" s="2"/>
      <c r="E10" s="3">
        <v>15</v>
      </c>
      <c r="F10" s="3">
        <v>27</v>
      </c>
    </row>
    <row r="11" spans="1:6">
      <c r="B11" s="2"/>
      <c r="C11" s="2"/>
      <c r="D11" s="2"/>
      <c r="E11" s="3">
        <v>35</v>
      </c>
      <c r="F11" s="3">
        <v>22</v>
      </c>
    </row>
    <row r="12" spans="1:6">
      <c r="B12" s="2"/>
      <c r="C12" s="2"/>
      <c r="D12" s="2"/>
      <c r="E12" s="3">
        <v>26</v>
      </c>
      <c r="F12" s="3">
        <v>25</v>
      </c>
    </row>
    <row r="13" spans="1:6">
      <c r="B13" s="2"/>
      <c r="C13" s="114" t="s">
        <v>3</v>
      </c>
      <c r="D13" s="114"/>
      <c r="E13" s="19">
        <f>STDEV(E3:E12)</f>
        <v>7.086763875156433</v>
      </c>
      <c r="F13" s="19">
        <f>STDEV(F3:F12)</f>
        <v>2.1081851067789197</v>
      </c>
    </row>
    <row r="16" spans="1:6">
      <c r="A16" s="95" t="s">
        <v>11</v>
      </c>
      <c r="B16" s="4" t="s">
        <v>9</v>
      </c>
      <c r="C16" s="5"/>
      <c r="D16" s="5"/>
    </row>
    <row r="18" spans="1:13">
      <c r="B18" s="113" t="s">
        <v>3</v>
      </c>
      <c r="C18" s="113"/>
      <c r="D18" s="7">
        <v>0.03</v>
      </c>
    </row>
    <row r="19" spans="1:13">
      <c r="B19" s="113" t="s">
        <v>8</v>
      </c>
      <c r="C19" s="113"/>
      <c r="D19" s="7">
        <v>0.05</v>
      </c>
    </row>
    <row r="20" spans="1:13">
      <c r="B20" s="2" t="s">
        <v>85</v>
      </c>
      <c r="D20" s="103">
        <v>0.1</v>
      </c>
      <c r="F20" s="31">
        <f>1-NORMDIST(D20,D19,D18,1)</f>
        <v>4.7790352272814696E-2</v>
      </c>
    </row>
    <row r="22" spans="1:13">
      <c r="A22" s="95" t="s">
        <v>65</v>
      </c>
      <c r="B22" s="4" t="s">
        <v>66</v>
      </c>
    </row>
    <row r="23" spans="1:13">
      <c r="B23" s="4"/>
    </row>
    <row r="24" spans="1:13">
      <c r="B24" s="9" t="s">
        <v>4</v>
      </c>
      <c r="C24" s="112" t="s">
        <v>70</v>
      </c>
      <c r="D24" s="112" t="s">
        <v>71</v>
      </c>
      <c r="E24" s="112" t="s">
        <v>72</v>
      </c>
      <c r="F24" s="112" t="s">
        <v>73</v>
      </c>
      <c r="G24" s="112" t="s">
        <v>74</v>
      </c>
      <c r="H24" s="112" t="s">
        <v>75</v>
      </c>
      <c r="I24" s="112" t="s">
        <v>76</v>
      </c>
      <c r="J24" s="112" t="s">
        <v>77</v>
      </c>
      <c r="K24" s="112" t="s">
        <v>5</v>
      </c>
      <c r="L24" s="112" t="s">
        <v>3</v>
      </c>
      <c r="M24" s="7"/>
    </row>
    <row r="25" spans="1:13">
      <c r="B25" s="10" t="s">
        <v>6</v>
      </c>
      <c r="C25" s="100">
        <v>0.05</v>
      </c>
      <c r="D25" s="100">
        <v>0.12</v>
      </c>
      <c r="E25" s="100">
        <v>0.18</v>
      </c>
      <c r="F25" s="100">
        <v>-0.12</v>
      </c>
      <c r="G25" s="100">
        <v>-0.04</v>
      </c>
      <c r="H25" s="100">
        <v>0.04</v>
      </c>
      <c r="I25" s="100">
        <v>0.15</v>
      </c>
      <c r="J25" s="100">
        <v>0.1</v>
      </c>
      <c r="K25" s="101">
        <f>AVERAGE(C25:J25)</f>
        <v>0.06</v>
      </c>
      <c r="L25" s="102">
        <f>STDEV(C25:J25)</f>
        <v>0.10042765697612531</v>
      </c>
    </row>
    <row r="26" spans="1:13">
      <c r="B26" s="10" t="s">
        <v>7</v>
      </c>
      <c r="C26" s="100">
        <v>0.02</v>
      </c>
      <c r="D26" s="100">
        <v>-0.01</v>
      </c>
      <c r="E26" s="100">
        <v>0.02</v>
      </c>
      <c r="F26" s="100">
        <v>0.05</v>
      </c>
      <c r="G26" s="100">
        <v>0.02</v>
      </c>
      <c r="H26" s="100">
        <v>-0.02</v>
      </c>
      <c r="I26" s="100">
        <v>0.1</v>
      </c>
      <c r="J26" s="100">
        <v>0.14000000000000001</v>
      </c>
      <c r="K26" s="101">
        <f>AVERAGE(C26:J26)</f>
        <v>0.04</v>
      </c>
      <c r="L26" s="102">
        <f>STDEV(C26:J26)</f>
        <v>5.4772255750516613E-2</v>
      </c>
      <c r="M26" s="7"/>
    </row>
    <row r="27" spans="1:13">
      <c r="B27" s="96" t="s">
        <v>78</v>
      </c>
      <c r="C27" s="103">
        <f>+C25/2+C26/2</f>
        <v>3.5000000000000003E-2</v>
      </c>
      <c r="D27" s="103">
        <f t="shared" ref="D27:K27" si="0">+D25/2+D26/2</f>
        <v>5.5E-2</v>
      </c>
      <c r="E27" s="103">
        <f t="shared" si="0"/>
        <v>9.9999999999999992E-2</v>
      </c>
      <c r="F27" s="103">
        <f t="shared" si="0"/>
        <v>-3.4999999999999996E-2</v>
      </c>
      <c r="G27" s="103">
        <f t="shared" si="0"/>
        <v>-0.01</v>
      </c>
      <c r="H27" s="103">
        <f t="shared" si="0"/>
        <v>0.01</v>
      </c>
      <c r="I27" s="103">
        <f t="shared" si="0"/>
        <v>0.125</v>
      </c>
      <c r="J27" s="103">
        <f t="shared" si="0"/>
        <v>0.12000000000000001</v>
      </c>
      <c r="K27" s="101">
        <f t="shared" si="0"/>
        <v>0.05</v>
      </c>
      <c r="L27" s="102">
        <f>STDEV(C27:J27)</f>
        <v>6.0592314458424272E-2</v>
      </c>
    </row>
    <row r="28" spans="1:13">
      <c r="B28" s="9" t="s">
        <v>79</v>
      </c>
      <c r="C28" s="105">
        <f>+C25-$K$25</f>
        <v>-9.999999999999995E-3</v>
      </c>
      <c r="D28" s="105">
        <f t="shared" ref="D28:J28" si="1">+D25-$K$25</f>
        <v>0.06</v>
      </c>
      <c r="E28" s="105">
        <f t="shared" si="1"/>
        <v>0.12</v>
      </c>
      <c r="F28" s="105">
        <f t="shared" si="1"/>
        <v>-0.18</v>
      </c>
      <c r="G28" s="105">
        <f t="shared" si="1"/>
        <v>-0.1</v>
      </c>
      <c r="H28" s="105">
        <f t="shared" si="1"/>
        <v>-1.9999999999999997E-2</v>
      </c>
      <c r="I28" s="105">
        <f t="shared" si="1"/>
        <v>0.09</v>
      </c>
      <c r="J28" s="105">
        <f t="shared" si="1"/>
        <v>4.0000000000000008E-2</v>
      </c>
      <c r="K28" s="99"/>
      <c r="L28" s="99"/>
      <c r="M28" s="7"/>
    </row>
    <row r="29" spans="1:13">
      <c r="B29" s="10" t="s">
        <v>80</v>
      </c>
      <c r="C29" s="106">
        <f>+C26-$K$26</f>
        <v>-0.02</v>
      </c>
      <c r="D29" s="106">
        <f t="shared" ref="D29:J29" si="2">+D26-$K$26</f>
        <v>-0.05</v>
      </c>
      <c r="E29" s="106">
        <f t="shared" si="2"/>
        <v>-0.02</v>
      </c>
      <c r="F29" s="106">
        <f t="shared" si="2"/>
        <v>1.0000000000000002E-2</v>
      </c>
      <c r="G29" s="106">
        <f t="shared" si="2"/>
        <v>-0.02</v>
      </c>
      <c r="H29" s="106">
        <f t="shared" si="2"/>
        <v>-0.06</v>
      </c>
      <c r="I29" s="106">
        <f t="shared" si="2"/>
        <v>6.0000000000000005E-2</v>
      </c>
      <c r="J29" s="106">
        <f t="shared" si="2"/>
        <v>0.1</v>
      </c>
      <c r="K29" s="101" t="s">
        <v>81</v>
      </c>
      <c r="L29" s="101" t="s">
        <v>82</v>
      </c>
    </row>
    <row r="30" spans="1:13">
      <c r="B30" s="10" t="s">
        <v>83</v>
      </c>
      <c r="C30" s="106">
        <f>+C28*C29</f>
        <v>1.999999999999999E-4</v>
      </c>
      <c r="D30" s="106">
        <f t="shared" ref="D30:J30" si="3">+D28*D29</f>
        <v>-3.0000000000000001E-3</v>
      </c>
      <c r="E30" s="106">
        <f t="shared" si="3"/>
        <v>-2.3999999999999998E-3</v>
      </c>
      <c r="F30" s="106">
        <f t="shared" si="3"/>
        <v>-1.8000000000000004E-3</v>
      </c>
      <c r="G30" s="106">
        <f t="shared" si="3"/>
        <v>2E-3</v>
      </c>
      <c r="H30" s="106">
        <f t="shared" si="3"/>
        <v>1.1999999999999997E-3</v>
      </c>
      <c r="I30" s="106">
        <f t="shared" si="3"/>
        <v>5.4000000000000003E-3</v>
      </c>
      <c r="J30" s="106">
        <f t="shared" si="3"/>
        <v>4.000000000000001E-3</v>
      </c>
      <c r="K30" s="101">
        <f>SUM(C30:J30)</f>
        <v>5.6000000000000008E-3</v>
      </c>
      <c r="L30" s="107">
        <f>+K30/7</f>
        <v>8.0000000000000015E-4</v>
      </c>
      <c r="M30" s="7"/>
    </row>
    <row r="31" spans="1:13" ht="17" thickBot="1">
      <c r="B31" s="98" t="s">
        <v>84</v>
      </c>
      <c r="C31" s="103"/>
      <c r="D31" s="103"/>
      <c r="E31" s="103"/>
      <c r="F31" s="103"/>
      <c r="G31" s="103"/>
      <c r="H31" s="103"/>
      <c r="I31" s="103"/>
      <c r="J31" s="103"/>
      <c r="K31" s="101"/>
      <c r="L31" s="104"/>
    </row>
    <row r="32" spans="1:13">
      <c r="B32" s="108" t="s">
        <v>82</v>
      </c>
      <c r="C32" s="109">
        <f>_xlfn.COVARIANCE.S(C25:J25,C26:J26)</f>
        <v>8.0000000000000015E-4</v>
      </c>
      <c r="D32" s="10"/>
      <c r="E32" s="10"/>
      <c r="F32" s="10"/>
      <c r="G32" s="10"/>
      <c r="H32" s="10"/>
      <c r="I32" s="10"/>
      <c r="J32" s="10"/>
      <c r="K32" s="11"/>
      <c r="L32" s="10"/>
      <c r="M32" s="7"/>
    </row>
    <row r="33" spans="2:13" ht="17" thickBot="1">
      <c r="B33" s="110" t="s">
        <v>64</v>
      </c>
      <c r="C33" s="111">
        <f>CORREL(C25:J25,C26:J26)</f>
        <v>0.14543737558545958</v>
      </c>
      <c r="D33" s="12"/>
      <c r="E33" s="12"/>
      <c r="F33" s="12"/>
      <c r="G33" s="12"/>
      <c r="H33" s="12"/>
      <c r="I33" s="12"/>
      <c r="J33" s="12"/>
      <c r="K33" s="13"/>
      <c r="L33" s="13"/>
    </row>
    <row r="34" spans="2:13">
      <c r="D34" s="12"/>
      <c r="E34" s="12"/>
      <c r="F34" s="12"/>
      <c r="G34" s="12"/>
      <c r="H34" s="12"/>
      <c r="I34" s="12"/>
      <c r="J34" s="12"/>
      <c r="K34" s="13"/>
      <c r="L34" s="13"/>
      <c r="M34" s="7"/>
    </row>
    <row r="35" spans="2:13">
      <c r="B35" s="96" t="s">
        <v>46</v>
      </c>
      <c r="C35" s="7"/>
      <c r="D35" s="7"/>
      <c r="E35" s="7"/>
      <c r="F35" s="7"/>
      <c r="G35" s="7"/>
      <c r="H35" s="7"/>
      <c r="I35" s="7"/>
      <c r="J35" s="7"/>
      <c r="K35" s="13"/>
      <c r="L35" s="97"/>
    </row>
    <row r="36" spans="2:13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3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3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3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3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3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3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3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3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3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3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3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3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</sheetData>
  <mergeCells count="3">
    <mergeCell ref="B18:C18"/>
    <mergeCell ref="B19:C19"/>
    <mergeCell ref="C13:D13"/>
  </mergeCells>
  <phoneticPr fontId="2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M47"/>
  <sheetViews>
    <sheetView zoomScale="140" workbookViewId="0">
      <selection activeCell="K43" sqref="K43"/>
    </sheetView>
  </sheetViews>
  <sheetFormatPr baseColWidth="10" defaultColWidth="11.5" defaultRowHeight="13"/>
  <cols>
    <col min="1" max="1" width="7.33203125" style="6" customWidth="1"/>
    <col min="2" max="2" width="15.5" style="6" customWidth="1"/>
    <col min="3" max="3" width="12.83203125" style="6" customWidth="1"/>
    <col min="4" max="4" width="8.83203125" style="6" customWidth="1"/>
    <col min="5" max="5" width="7.5" style="6" customWidth="1"/>
    <col min="6" max="6" width="6.5" style="6" customWidth="1"/>
    <col min="7" max="7" width="7.5" style="6" customWidth="1"/>
    <col min="8" max="8" width="7.83203125" style="6" customWidth="1"/>
    <col min="9" max="9" width="9.5" style="6" customWidth="1"/>
    <col min="10" max="10" width="7.83203125" style="6" customWidth="1"/>
    <col min="11" max="16384" width="11.5" style="6"/>
  </cols>
  <sheetData>
    <row r="1" spans="1:9" ht="16">
      <c r="B1" s="8" t="s">
        <v>68</v>
      </c>
    </row>
    <row r="2" spans="1:9" ht="16">
      <c r="B2" s="4" t="s">
        <v>12</v>
      </c>
    </row>
    <row r="4" spans="1:9">
      <c r="B4" s="6" t="s">
        <v>13</v>
      </c>
      <c r="C4" s="14">
        <v>100000</v>
      </c>
    </row>
    <row r="5" spans="1:9">
      <c r="B5" s="6" t="s">
        <v>14</v>
      </c>
      <c r="C5" s="16">
        <v>0.05</v>
      </c>
    </row>
    <row r="6" spans="1:9">
      <c r="B6" s="6" t="s">
        <v>15</v>
      </c>
      <c r="C6" s="15">
        <v>5</v>
      </c>
    </row>
    <row r="7" spans="1:9">
      <c r="B7" s="6" t="s">
        <v>12</v>
      </c>
      <c r="C7" s="22">
        <f>PMT(C5,C6,C4,0,0)</f>
        <v>-23097.479812826812</v>
      </c>
    </row>
    <row r="8" spans="1:9">
      <c r="C8" s="17"/>
    </row>
    <row r="10" spans="1:9" ht="16">
      <c r="B10" s="8" t="s">
        <v>86</v>
      </c>
    </row>
    <row r="11" spans="1:9" ht="16">
      <c r="B11" s="4" t="s">
        <v>17</v>
      </c>
    </row>
    <row r="12" spans="1:9" ht="16">
      <c r="B12" s="4"/>
    </row>
    <row r="13" spans="1:9" ht="19.5" customHeight="1">
      <c r="A13" s="23"/>
      <c r="B13" s="25" t="s">
        <v>21</v>
      </c>
      <c r="C13" s="24">
        <v>4.4999999999999998E-2</v>
      </c>
    </row>
    <row r="14" spans="1:9" ht="14" thickBot="1">
      <c r="B14" s="6" t="s">
        <v>4</v>
      </c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 t="s">
        <v>16</v>
      </c>
      <c r="I14" s="15" t="s">
        <v>20</v>
      </c>
    </row>
    <row r="15" spans="1:9" ht="14" thickBot="1">
      <c r="B15" s="20" t="s">
        <v>18</v>
      </c>
      <c r="C15" s="29">
        <v>3.5</v>
      </c>
      <c r="D15" s="29">
        <f>+C15</f>
        <v>3.5</v>
      </c>
      <c r="E15" s="29">
        <f>+D15</f>
        <v>3.5</v>
      </c>
      <c r="F15" s="29">
        <f>+E15</f>
        <v>3.5</v>
      </c>
      <c r="G15" s="30">
        <f>+F15+100</f>
        <v>103.5</v>
      </c>
    </row>
    <row r="16" spans="1:9">
      <c r="B16" s="6" t="s">
        <v>19</v>
      </c>
      <c r="C16" s="21">
        <f>+C15/(1+$C$13)^C14</f>
        <v>3.3492822966507179</v>
      </c>
      <c r="D16" s="21">
        <f>+D15/(1+$C$13)^D14</f>
        <v>3.2050548293308307</v>
      </c>
      <c r="E16" s="21">
        <f>+E15/(1+$C$13)^E14</f>
        <v>3.0670381141921825</v>
      </c>
      <c r="F16" s="21">
        <f>+F15/(1+$C$13)^F14</f>
        <v>2.9349647025762522</v>
      </c>
      <c r="G16" s="21">
        <f>+G15/(1+$C$13)^G14</f>
        <v>83.053683312820809</v>
      </c>
      <c r="H16" s="21">
        <f>SUM(C16:G16)</f>
        <v>95.610023255570795</v>
      </c>
      <c r="I16" s="19">
        <f>NPV(C13,C15:G15)</f>
        <v>95.610023255570781</v>
      </c>
    </row>
    <row r="17" spans="2:13">
      <c r="C17" s="21"/>
      <c r="D17" s="21"/>
      <c r="E17" s="21"/>
      <c r="F17" s="21"/>
      <c r="G17" s="21"/>
      <c r="H17" s="21"/>
    </row>
    <row r="19" spans="2:13" ht="16">
      <c r="B19" s="4" t="s">
        <v>22</v>
      </c>
    </row>
    <row r="20" spans="2:13" ht="16">
      <c r="B20" s="4"/>
    </row>
    <row r="21" spans="2:13" ht="14" thickBot="1">
      <c r="B21" s="6" t="s">
        <v>4</v>
      </c>
      <c r="C21" s="15">
        <v>0</v>
      </c>
      <c r="D21" s="15">
        <v>1</v>
      </c>
      <c r="E21" s="15">
        <v>2</v>
      </c>
      <c r="F21" s="15">
        <v>3</v>
      </c>
      <c r="G21" s="15">
        <v>4</v>
      </c>
      <c r="H21" s="15">
        <v>5</v>
      </c>
      <c r="I21" s="15">
        <v>6</v>
      </c>
      <c r="J21" s="15">
        <v>7</v>
      </c>
      <c r="K21" s="15" t="s">
        <v>20</v>
      </c>
      <c r="M21" s="26"/>
    </row>
    <row r="22" spans="2:13" ht="14" thickBot="1">
      <c r="B22" s="20" t="s">
        <v>18</v>
      </c>
      <c r="C22" s="29">
        <v>-98.5</v>
      </c>
      <c r="D22" s="29">
        <v>5</v>
      </c>
      <c r="E22" s="29">
        <f>+D22</f>
        <v>5</v>
      </c>
      <c r="F22" s="29">
        <f>+E22</f>
        <v>5</v>
      </c>
      <c r="G22" s="29">
        <f>+F22</f>
        <v>5</v>
      </c>
      <c r="H22" s="29">
        <f>+G22</f>
        <v>5</v>
      </c>
      <c r="I22" s="29">
        <f>+H22</f>
        <v>5</v>
      </c>
      <c r="J22" s="29">
        <f>+I22+100</f>
        <v>105</v>
      </c>
      <c r="K22" s="28">
        <f>IRR(C22:J22,0.1)</f>
        <v>5.2616936049532326E-2</v>
      </c>
    </row>
    <row r="23" spans="2:13">
      <c r="C23" s="18"/>
      <c r="D23" s="18"/>
      <c r="E23" s="18"/>
      <c r="F23" s="18"/>
      <c r="G23" s="18"/>
    </row>
    <row r="25" spans="2:13" ht="16">
      <c r="B25" s="8" t="s">
        <v>87</v>
      </c>
    </row>
    <row r="26" spans="2:13" ht="16">
      <c r="B26" s="4" t="s">
        <v>23</v>
      </c>
      <c r="E26" s="121" t="s">
        <v>24</v>
      </c>
      <c r="F26" s="121"/>
      <c r="G26" s="121"/>
      <c r="H26" s="121"/>
      <c r="I26" s="121"/>
    </row>
    <row r="27" spans="2:13" ht="17" thickBot="1">
      <c r="B27" s="4"/>
    </row>
    <row r="28" spans="2:13">
      <c r="B28" s="65" t="s">
        <v>25</v>
      </c>
      <c r="C28" s="66">
        <v>42137</v>
      </c>
      <c r="E28" s="122" t="s">
        <v>25</v>
      </c>
      <c r="F28" s="123"/>
      <c r="G28" s="124">
        <f>+C28</f>
        <v>42137</v>
      </c>
      <c r="H28" s="125"/>
    </row>
    <row r="29" spans="2:13">
      <c r="B29" s="67" t="s">
        <v>26</v>
      </c>
      <c r="C29" s="68">
        <v>44228</v>
      </c>
      <c r="E29" s="115" t="s">
        <v>26</v>
      </c>
      <c r="F29" s="116"/>
      <c r="G29" s="126">
        <f>+C29</f>
        <v>44228</v>
      </c>
      <c r="H29" s="127"/>
    </row>
    <row r="30" spans="2:13">
      <c r="B30" s="67" t="s">
        <v>27</v>
      </c>
      <c r="C30" s="69">
        <v>0.05</v>
      </c>
      <c r="E30" s="115" t="s">
        <v>27</v>
      </c>
      <c r="F30" s="116"/>
      <c r="G30" s="128">
        <v>0.05</v>
      </c>
      <c r="H30" s="129"/>
    </row>
    <row r="31" spans="2:13">
      <c r="B31" s="67" t="s">
        <v>28</v>
      </c>
      <c r="C31" s="70" t="s">
        <v>29</v>
      </c>
      <c r="E31" s="115" t="s">
        <v>28</v>
      </c>
      <c r="F31" s="116"/>
      <c r="G31" s="117" t="s">
        <v>29</v>
      </c>
      <c r="H31" s="118"/>
    </row>
    <row r="32" spans="2:13">
      <c r="B32" s="67" t="s">
        <v>30</v>
      </c>
      <c r="C32" s="71" t="s">
        <v>55</v>
      </c>
      <c r="E32" s="115" t="s">
        <v>30</v>
      </c>
      <c r="F32" s="116"/>
      <c r="G32" s="117" t="s">
        <v>55</v>
      </c>
      <c r="H32" s="118"/>
    </row>
    <row r="33" spans="2:8">
      <c r="B33" s="67" t="s">
        <v>54</v>
      </c>
      <c r="C33" s="75">
        <v>100</v>
      </c>
      <c r="E33" s="115" t="s">
        <v>32</v>
      </c>
      <c r="F33" s="116"/>
      <c r="G33" s="119">
        <v>100</v>
      </c>
      <c r="H33" s="120"/>
    </row>
    <row r="34" spans="2:8" ht="14" thickBot="1">
      <c r="B34" s="67" t="s">
        <v>33</v>
      </c>
      <c r="C34" s="69">
        <v>0.06</v>
      </c>
      <c r="E34" s="115" t="s">
        <v>34</v>
      </c>
      <c r="F34" s="116"/>
      <c r="G34" s="117">
        <v>95.24</v>
      </c>
      <c r="H34" s="118"/>
    </row>
    <row r="35" spans="2:8" ht="14" thickBot="1">
      <c r="B35" s="73" t="s">
        <v>34</v>
      </c>
      <c r="C35" s="64">
        <f>PRICE(C28,C29,C30,C34,C33,1,1)</f>
        <v>95.244627202068628</v>
      </c>
      <c r="E35" s="73" t="s">
        <v>33</v>
      </c>
      <c r="F35" s="78"/>
      <c r="G35" s="136">
        <f>YIELD(G28,G29,G30,G34,100,1,1)</f>
        <v>6.0010085760838751E-2</v>
      </c>
      <c r="H35" s="137"/>
    </row>
    <row r="38" spans="2:8" ht="16">
      <c r="B38" s="8" t="s">
        <v>88</v>
      </c>
    </row>
    <row r="39" spans="2:8" ht="16">
      <c r="B39" s="4" t="s">
        <v>37</v>
      </c>
    </row>
    <row r="40" spans="2:8" ht="14" thickBot="1"/>
    <row r="41" spans="2:8">
      <c r="B41" s="65" t="s">
        <v>25</v>
      </c>
      <c r="C41" s="79">
        <v>42370</v>
      </c>
      <c r="E41" s="138" t="s">
        <v>25</v>
      </c>
      <c r="F41" s="139"/>
      <c r="G41" s="124">
        <f>+C41</f>
        <v>42370</v>
      </c>
      <c r="H41" s="125"/>
    </row>
    <row r="42" spans="2:8">
      <c r="B42" s="67" t="s">
        <v>26</v>
      </c>
      <c r="C42" s="80">
        <v>44927</v>
      </c>
      <c r="E42" s="132" t="s">
        <v>26</v>
      </c>
      <c r="F42" s="133"/>
      <c r="G42" s="126">
        <f>+C42</f>
        <v>44927</v>
      </c>
      <c r="H42" s="127"/>
    </row>
    <row r="43" spans="2:8">
      <c r="B43" s="67" t="s">
        <v>27</v>
      </c>
      <c r="C43" s="81">
        <v>0.05</v>
      </c>
      <c r="E43" s="132" t="s">
        <v>27</v>
      </c>
      <c r="F43" s="133"/>
      <c r="G43" s="128">
        <v>0.05</v>
      </c>
      <c r="H43" s="129"/>
    </row>
    <row r="44" spans="2:8">
      <c r="B44" s="67" t="s">
        <v>28</v>
      </c>
      <c r="C44" s="82" t="s">
        <v>29</v>
      </c>
      <c r="E44" s="132" t="s">
        <v>28</v>
      </c>
      <c r="F44" s="133"/>
      <c r="G44" s="117" t="s">
        <v>29</v>
      </c>
      <c r="H44" s="118"/>
    </row>
    <row r="45" spans="2:8">
      <c r="B45" s="67" t="s">
        <v>30</v>
      </c>
      <c r="C45" s="71" t="s">
        <v>55</v>
      </c>
      <c r="E45" s="132" t="s">
        <v>30</v>
      </c>
      <c r="F45" s="133"/>
      <c r="G45" s="117" t="s">
        <v>55</v>
      </c>
      <c r="H45" s="118"/>
    </row>
    <row r="46" spans="2:8" ht="14" thickBot="1">
      <c r="B46" s="67" t="s">
        <v>33</v>
      </c>
      <c r="C46" s="83">
        <v>5.2616999999999997E-2</v>
      </c>
      <c r="E46" s="115" t="s">
        <v>33</v>
      </c>
      <c r="F46" s="116"/>
      <c r="G46" s="130">
        <v>5.2600000000000001E-2</v>
      </c>
      <c r="H46" s="131"/>
    </row>
    <row r="47" spans="2:8" ht="14" thickBot="1">
      <c r="B47" s="73" t="s">
        <v>37</v>
      </c>
      <c r="C47" s="91">
        <f>DURATION(C41,C42,C43,C46,1,1)</f>
        <v>6.0675721132261167</v>
      </c>
      <c r="E47" s="73" t="s">
        <v>56</v>
      </c>
      <c r="F47" s="78"/>
      <c r="G47" s="134">
        <f>MDURATION(G41,G42,G43,G46,1,1)</f>
        <v>5.7644166854285732</v>
      </c>
      <c r="H47" s="135"/>
    </row>
  </sheetData>
  <mergeCells count="29">
    <mergeCell ref="G45:H45"/>
    <mergeCell ref="G46:H46"/>
    <mergeCell ref="E44:F44"/>
    <mergeCell ref="G47:H47"/>
    <mergeCell ref="G35:H35"/>
    <mergeCell ref="E41:F41"/>
    <mergeCell ref="E42:F42"/>
    <mergeCell ref="E43:F43"/>
    <mergeCell ref="E45:F45"/>
    <mergeCell ref="E46:F46"/>
    <mergeCell ref="G41:H41"/>
    <mergeCell ref="G42:H42"/>
    <mergeCell ref="G43:H43"/>
    <mergeCell ref="G44:H44"/>
    <mergeCell ref="E26:I26"/>
    <mergeCell ref="E28:F28"/>
    <mergeCell ref="E29:F29"/>
    <mergeCell ref="E30:F30"/>
    <mergeCell ref="G28:H28"/>
    <mergeCell ref="G29:H29"/>
    <mergeCell ref="G30:H30"/>
    <mergeCell ref="E31:F31"/>
    <mergeCell ref="E32:F32"/>
    <mergeCell ref="E33:F33"/>
    <mergeCell ref="E34:F34"/>
    <mergeCell ref="G31:H31"/>
    <mergeCell ref="G32:H32"/>
    <mergeCell ref="G33:H33"/>
    <mergeCell ref="G34:H34"/>
  </mergeCells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B1:M14"/>
  <sheetViews>
    <sheetView zoomScale="140" workbookViewId="0">
      <selection activeCell="B10" sqref="B10"/>
    </sheetView>
  </sheetViews>
  <sheetFormatPr baseColWidth="10" defaultColWidth="11.5" defaultRowHeight="13"/>
  <cols>
    <col min="1" max="1" width="7" style="86" customWidth="1"/>
    <col min="2" max="16384" width="11.5" style="86"/>
  </cols>
  <sheetData>
    <row r="1" spans="2:13" ht="16">
      <c r="B1" s="8" t="s">
        <v>89</v>
      </c>
    </row>
    <row r="2" spans="2:13" ht="16">
      <c r="B2" s="4" t="s">
        <v>61</v>
      </c>
    </row>
    <row r="3" spans="2:13" ht="16">
      <c r="B3" s="4"/>
    </row>
    <row r="4" spans="2:13">
      <c r="B4" s="87" t="s">
        <v>60</v>
      </c>
      <c r="C4" s="88">
        <v>7.0000000000000007E-2</v>
      </c>
      <c r="L4" s="140" t="s">
        <v>62</v>
      </c>
      <c r="M4" s="140"/>
    </row>
    <row r="5" spans="2:13">
      <c r="B5" s="89" t="s">
        <v>4</v>
      </c>
      <c r="C5" s="89">
        <v>0</v>
      </c>
      <c r="D5" s="89">
        <v>1</v>
      </c>
      <c r="E5" s="89">
        <v>2</v>
      </c>
      <c r="F5" s="89">
        <v>3</v>
      </c>
      <c r="G5" s="89">
        <v>4</v>
      </c>
      <c r="H5" s="89">
        <v>5</v>
      </c>
      <c r="I5" s="89">
        <v>6</v>
      </c>
      <c r="J5" s="89">
        <v>7</v>
      </c>
      <c r="K5" s="89">
        <v>8</v>
      </c>
      <c r="L5" s="89" t="s">
        <v>57</v>
      </c>
      <c r="M5" s="74" t="s">
        <v>12</v>
      </c>
    </row>
    <row r="6" spans="2:13">
      <c r="B6" s="89" t="s">
        <v>58</v>
      </c>
      <c r="C6" s="85">
        <f>-10000</f>
        <v>-10000</v>
      </c>
      <c r="D6" s="85">
        <v>-4500</v>
      </c>
      <c r="E6" s="85">
        <f>+D6</f>
        <v>-4500</v>
      </c>
      <c r="F6" s="85">
        <f t="shared" ref="E6:G7" si="0">+E6</f>
        <v>-4500</v>
      </c>
      <c r="G6" s="85">
        <f t="shared" si="0"/>
        <v>-4500</v>
      </c>
      <c r="H6" s="85"/>
      <c r="I6" s="85"/>
      <c r="J6" s="85"/>
      <c r="K6" s="85"/>
      <c r="L6" s="22">
        <f>NPV(C4,D6:G6)+C6</f>
        <v>-25242.450654087661</v>
      </c>
      <c r="M6" s="22">
        <f>-PMT(C4,G5,L6)</f>
        <v>-7452.2811666726348</v>
      </c>
    </row>
    <row r="7" spans="2:13">
      <c r="B7" s="89" t="s">
        <v>59</v>
      </c>
      <c r="C7" s="85">
        <f>-30000</f>
        <v>-30000</v>
      </c>
      <c r="D7" s="85">
        <v>-2000</v>
      </c>
      <c r="E7" s="85">
        <f t="shared" si="0"/>
        <v>-2000</v>
      </c>
      <c r="F7" s="85">
        <f t="shared" si="0"/>
        <v>-2000</v>
      </c>
      <c r="G7" s="85">
        <f t="shared" si="0"/>
        <v>-2000</v>
      </c>
      <c r="H7" s="85">
        <f>+G7</f>
        <v>-2000</v>
      </c>
      <c r="I7" s="85">
        <f>+H7</f>
        <v>-2000</v>
      </c>
      <c r="J7" s="85">
        <f>+I7</f>
        <v>-2000</v>
      </c>
      <c r="K7" s="85">
        <v>1000</v>
      </c>
      <c r="L7" s="22">
        <f>NPV(C4,D7:K7)+C7</f>
        <v>-40196.569698732354</v>
      </c>
      <c r="M7" s="22">
        <f>-PMT(C4,K5,L7)</f>
        <v>-6731.6295872503742</v>
      </c>
    </row>
    <row r="10" spans="2:13" ht="16">
      <c r="B10" s="8" t="s">
        <v>90</v>
      </c>
    </row>
    <row r="11" spans="2:13" ht="16">
      <c r="B11" s="4" t="s">
        <v>22</v>
      </c>
    </row>
    <row r="13" spans="2:13">
      <c r="B13" s="74" t="s">
        <v>4</v>
      </c>
      <c r="C13" s="90">
        <v>0</v>
      </c>
      <c r="D13" s="90">
        <v>1</v>
      </c>
      <c r="E13" s="90">
        <v>2</v>
      </c>
      <c r="F13" s="90">
        <v>3</v>
      </c>
      <c r="G13" s="90" t="s">
        <v>16</v>
      </c>
      <c r="H13" s="74" t="s">
        <v>22</v>
      </c>
    </row>
    <row r="14" spans="2:13">
      <c r="B14" s="86" t="s">
        <v>63</v>
      </c>
      <c r="C14" s="85">
        <v>-1000</v>
      </c>
      <c r="D14" s="84">
        <v>400</v>
      </c>
      <c r="E14" s="84">
        <v>600</v>
      </c>
      <c r="F14" s="84">
        <v>200</v>
      </c>
      <c r="G14" s="22">
        <f>NPV(C4,D14:F14)+C14</f>
        <v>61.154588043031936</v>
      </c>
      <c r="H14" s="27">
        <f>IRR(C14:F14)</f>
        <v>0.10599788731858584</v>
      </c>
    </row>
  </sheetData>
  <mergeCells count="1">
    <mergeCell ref="L4:M4"/>
  </mergeCells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2:H41"/>
  <sheetViews>
    <sheetView topLeftCell="D10" zoomScale="150" zoomScaleNormal="150" workbookViewId="0">
      <selection activeCell="F3" sqref="F3"/>
    </sheetView>
  </sheetViews>
  <sheetFormatPr baseColWidth="10" defaultRowHeight="13"/>
  <cols>
    <col min="2" max="2" width="30.6640625" bestFit="1" customWidth="1"/>
    <col min="3" max="3" width="19.5" bestFit="1" customWidth="1"/>
    <col min="4" max="4" width="4.83203125" customWidth="1"/>
    <col min="5" max="5" width="34.33203125" bestFit="1" customWidth="1"/>
    <col min="6" max="6" width="21.83203125" bestFit="1" customWidth="1"/>
    <col min="7" max="7" width="9.5" customWidth="1"/>
  </cols>
  <sheetData>
    <row r="2" spans="2:8" ht="14" thickBot="1"/>
    <row r="3" spans="2:8">
      <c r="B3" s="32" t="s">
        <v>25</v>
      </c>
      <c r="C3" s="66">
        <v>39946</v>
      </c>
      <c r="E3" s="32" t="s">
        <v>25</v>
      </c>
      <c r="F3" s="66">
        <v>39946</v>
      </c>
      <c r="G3" s="33"/>
      <c r="H3" s="33"/>
    </row>
    <row r="4" spans="2:8">
      <c r="B4" s="34" t="s">
        <v>26</v>
      </c>
      <c r="C4" s="68">
        <v>41772</v>
      </c>
      <c r="E4" s="34" t="s">
        <v>26</v>
      </c>
      <c r="F4" s="68">
        <v>41772</v>
      </c>
      <c r="G4" s="33"/>
      <c r="H4" s="33"/>
    </row>
    <row r="5" spans="2:8">
      <c r="B5" s="34" t="s">
        <v>27</v>
      </c>
      <c r="C5" s="69">
        <v>0.05</v>
      </c>
      <c r="E5" s="34" t="s">
        <v>27</v>
      </c>
      <c r="F5" s="69">
        <v>0.05</v>
      </c>
      <c r="G5" s="33"/>
      <c r="H5" s="33"/>
    </row>
    <row r="6" spans="2:8">
      <c r="B6" s="34" t="s">
        <v>28</v>
      </c>
      <c r="C6" s="70" t="s">
        <v>29</v>
      </c>
      <c r="E6" s="34" t="s">
        <v>28</v>
      </c>
      <c r="F6" s="70" t="s">
        <v>29</v>
      </c>
      <c r="G6" s="33"/>
      <c r="H6" s="33"/>
    </row>
    <row r="7" spans="2:8">
      <c r="B7" s="34" t="s">
        <v>30</v>
      </c>
      <c r="C7" s="71" t="s">
        <v>55</v>
      </c>
      <c r="E7" s="34" t="s">
        <v>30</v>
      </c>
      <c r="F7" s="71" t="s">
        <v>55</v>
      </c>
      <c r="G7" s="33"/>
      <c r="H7" s="33"/>
    </row>
    <row r="8" spans="2:8">
      <c r="B8" s="34" t="s">
        <v>32</v>
      </c>
      <c r="C8" s="72">
        <v>100</v>
      </c>
      <c r="E8" s="34" t="s">
        <v>32</v>
      </c>
      <c r="F8" s="72">
        <v>100</v>
      </c>
      <c r="G8" s="33"/>
      <c r="H8" s="33"/>
    </row>
    <row r="9" spans="2:8" ht="14" thickBot="1">
      <c r="B9" s="34" t="s">
        <v>33</v>
      </c>
      <c r="C9" s="69">
        <v>0.04</v>
      </c>
      <c r="E9" s="36" t="s">
        <v>34</v>
      </c>
      <c r="F9" s="72">
        <v>80</v>
      </c>
      <c r="G9" s="33"/>
      <c r="H9" s="33"/>
    </row>
    <row r="10" spans="2:8" s="37" customFormat="1" ht="19" thickBot="1">
      <c r="B10" s="93" t="s">
        <v>34</v>
      </c>
      <c r="C10" s="76">
        <f>PRICE(C3,C4,C5,C9,C8,1,1)</f>
        <v>104.45182233101619</v>
      </c>
      <c r="E10" s="93" t="s">
        <v>33</v>
      </c>
      <c r="F10" s="77">
        <f>YIELD(F3,F4,F5,F9,100,1,1)</f>
        <v>0.10319016331988884</v>
      </c>
      <c r="G10" s="38"/>
      <c r="H10" s="39"/>
    </row>
    <row r="11" spans="2:8" s="40" customFormat="1">
      <c r="B11" s="40" t="s">
        <v>35</v>
      </c>
      <c r="E11" s="40" t="s">
        <v>36</v>
      </c>
      <c r="G11" s="41"/>
      <c r="H11" s="41"/>
    </row>
    <row r="12" spans="2:8" s="40" customFormat="1">
      <c r="G12" s="41"/>
      <c r="H12" s="41"/>
    </row>
    <row r="13" spans="2:8">
      <c r="B13" s="32" t="s">
        <v>25</v>
      </c>
      <c r="C13" s="42">
        <v>40179</v>
      </c>
      <c r="E13" s="32" t="s">
        <v>25</v>
      </c>
      <c r="F13" s="42">
        <v>36526</v>
      </c>
    </row>
    <row r="14" spans="2:8">
      <c r="B14" s="34" t="s">
        <v>26</v>
      </c>
      <c r="C14" s="43">
        <v>42736</v>
      </c>
      <c r="E14" s="34" t="s">
        <v>26</v>
      </c>
      <c r="F14" s="43">
        <v>40179</v>
      </c>
    </row>
    <row r="15" spans="2:8">
      <c r="B15" s="34" t="s">
        <v>27</v>
      </c>
      <c r="C15" s="44">
        <v>0.05</v>
      </c>
      <c r="E15" s="34" t="s">
        <v>27</v>
      </c>
      <c r="F15" s="44">
        <v>7.0000000000000007E-2</v>
      </c>
    </row>
    <row r="16" spans="2:8">
      <c r="B16" s="34" t="s">
        <v>28</v>
      </c>
      <c r="C16" s="45" t="s">
        <v>29</v>
      </c>
      <c r="E16" s="34" t="s">
        <v>28</v>
      </c>
      <c r="F16" s="45" t="s">
        <v>29</v>
      </c>
    </row>
    <row r="17" spans="1:8">
      <c r="B17" s="34" t="s">
        <v>30</v>
      </c>
      <c r="C17" s="35" t="s">
        <v>55</v>
      </c>
      <c r="E17" s="34" t="s">
        <v>30</v>
      </c>
      <c r="F17" s="35" t="s">
        <v>31</v>
      </c>
    </row>
    <row r="18" spans="1:8" ht="14" thickBot="1">
      <c r="B18" s="36" t="s">
        <v>33</v>
      </c>
      <c r="C18" s="46">
        <v>5.2616999999999997E-2</v>
      </c>
      <c r="E18" s="36" t="s">
        <v>33</v>
      </c>
      <c r="F18" s="46">
        <v>7.0000000000000007E-2</v>
      </c>
    </row>
    <row r="19" spans="1:8" ht="19" thickBot="1">
      <c r="B19" s="93" t="s">
        <v>37</v>
      </c>
      <c r="C19" s="76">
        <f>DURATION(C13,C14,C15,C18,1)</f>
        <v>6.0675721132261167</v>
      </c>
      <c r="E19" s="93" t="s">
        <v>56</v>
      </c>
      <c r="F19" s="76">
        <f>MDURATION(F13,F14,F15,F18,1,1)</f>
        <v>7.023581540932601</v>
      </c>
    </row>
    <row r="20" spans="1:8" s="40" customFormat="1">
      <c r="B20" s="47" t="s">
        <v>38</v>
      </c>
      <c r="E20" s="48" t="s">
        <v>39</v>
      </c>
    </row>
    <row r="22" spans="1:8" ht="14">
      <c r="B22" s="32" t="s">
        <v>40</v>
      </c>
      <c r="C22" s="49">
        <v>1000000</v>
      </c>
      <c r="E22" s="32" t="s">
        <v>12</v>
      </c>
      <c r="F22" s="50">
        <v>1000</v>
      </c>
    </row>
    <row r="23" spans="1:8">
      <c r="B23" s="34" t="s">
        <v>41</v>
      </c>
      <c r="C23" s="51">
        <v>0</v>
      </c>
      <c r="E23" s="34" t="s">
        <v>42</v>
      </c>
      <c r="F23" s="51" t="s">
        <v>46</v>
      </c>
    </row>
    <row r="24" spans="1:8">
      <c r="B24" s="34" t="s">
        <v>33</v>
      </c>
      <c r="C24" s="52">
        <v>0.05</v>
      </c>
      <c r="E24" s="34" t="s">
        <v>33</v>
      </c>
      <c r="F24" s="52">
        <v>0.05</v>
      </c>
    </row>
    <row r="25" spans="1:8">
      <c r="B25" s="34" t="s">
        <v>15</v>
      </c>
      <c r="C25" s="51">
        <v>6</v>
      </c>
      <c r="E25" s="34" t="s">
        <v>15</v>
      </c>
      <c r="F25" s="51">
        <v>30</v>
      </c>
    </row>
    <row r="26" spans="1:8" ht="16.5" customHeight="1" thickBot="1">
      <c r="B26" s="36" t="s">
        <v>28</v>
      </c>
      <c r="C26" s="53" t="s">
        <v>29</v>
      </c>
      <c r="E26" s="36" t="s">
        <v>28</v>
      </c>
      <c r="F26" s="53" t="s">
        <v>29</v>
      </c>
    </row>
    <row r="27" spans="1:8" ht="19" thickBot="1">
      <c r="B27" s="93" t="s">
        <v>12</v>
      </c>
      <c r="C27" s="92">
        <f>PMT(C24,C25,C22,C23,0)</f>
        <v>-197017.46811018829</v>
      </c>
      <c r="E27" s="93" t="s">
        <v>43</v>
      </c>
      <c r="F27" s="92">
        <f>PV(F24,F25,F22,0,0)</f>
        <v>-15372.451026882838</v>
      </c>
    </row>
    <row r="28" spans="1:8" s="40" customFormat="1">
      <c r="B28" s="40" t="s">
        <v>44</v>
      </c>
      <c r="E28" s="40" t="s">
        <v>45</v>
      </c>
    </row>
    <row r="31" spans="1:8">
      <c r="B31" s="54" t="s">
        <v>69</v>
      </c>
      <c r="C31" s="55">
        <v>-1</v>
      </c>
      <c r="E31" s="32" t="s">
        <v>40</v>
      </c>
      <c r="F31" s="50">
        <v>2000</v>
      </c>
      <c r="H31" s="56" t="s">
        <v>46</v>
      </c>
    </row>
    <row r="32" spans="1:8">
      <c r="A32" s="57"/>
      <c r="B32" s="58"/>
      <c r="C32" s="59">
        <v>2</v>
      </c>
      <c r="E32" s="34" t="s">
        <v>41</v>
      </c>
      <c r="F32" s="51">
        <v>0</v>
      </c>
      <c r="H32" t="s">
        <v>46</v>
      </c>
    </row>
    <row r="33" spans="2:6" ht="14" thickBot="1">
      <c r="B33" s="60"/>
      <c r="C33" s="61">
        <v>3</v>
      </c>
      <c r="E33" s="34" t="s">
        <v>47</v>
      </c>
      <c r="F33" s="52">
        <f>10%/12</f>
        <v>8.3333333333333332E-3</v>
      </c>
    </row>
    <row r="34" spans="2:6" ht="19" thickBot="1">
      <c r="B34" s="93" t="s">
        <v>48</v>
      </c>
      <c r="C34" s="63">
        <f>IRR(C31:C33,0.1)</f>
        <v>1.9999999999999996</v>
      </c>
      <c r="E34" s="34" t="s">
        <v>49</v>
      </c>
      <c r="F34" s="51">
        <v>24</v>
      </c>
    </row>
    <row r="35" spans="2:6" ht="14" thickBot="1">
      <c r="B35" s="40" t="s">
        <v>50</v>
      </c>
      <c r="E35" s="36" t="s">
        <v>28</v>
      </c>
      <c r="F35" s="53" t="s">
        <v>51</v>
      </c>
    </row>
    <row r="36" spans="2:6" ht="19" thickBot="1">
      <c r="E36" s="93" t="s">
        <v>52</v>
      </c>
      <c r="F36" s="63">
        <f>PPMT(F33,1,F34,F31,0)</f>
        <v>-75.623186008366332</v>
      </c>
    </row>
    <row r="37" spans="2:6">
      <c r="B37" t="s">
        <v>46</v>
      </c>
      <c r="E37" s="62" t="s">
        <v>53</v>
      </c>
    </row>
    <row r="38" spans="2:6">
      <c r="E38" s="62"/>
    </row>
    <row r="41" spans="2:6">
      <c r="B41" s="94" t="s">
        <v>46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 Grundlagen</vt:lpstr>
      <vt:lpstr>D und E</vt:lpstr>
      <vt:lpstr>F</vt:lpstr>
      <vt:lpstr>Rechner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Dr. Martin Bösch</dc:creator>
  <cp:lastModifiedBy>Dennis Brunotte</cp:lastModifiedBy>
  <dcterms:created xsi:type="dcterms:W3CDTF">2009-02-01T09:51:10Z</dcterms:created>
  <dcterms:modified xsi:type="dcterms:W3CDTF">2019-04-01T09:13:26Z</dcterms:modified>
</cp:coreProperties>
</file>