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drawings/drawing13.xml" ContentType="application/vnd.openxmlformats-officedocument.drawing+xml"/>
  <Override PartName="/xl/worksheets/sheet34.xml" ContentType="application/vnd.openxmlformats-officedocument.spreadsheetml.worksheet+xml"/>
  <Override PartName="/xl/drawings/drawing1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drawings/drawing16.xml" ContentType="application/vnd.openxmlformats-officedocument.drawing+xml"/>
  <Override PartName="/xl/worksheets/sheet38.xml" ContentType="application/vnd.openxmlformats-officedocument.spreadsheetml.worksheet+xml"/>
  <Override PartName="/xl/drawings/drawing17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8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19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0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21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drawings/drawing22.xml" ContentType="application/vnd.openxmlformats-officedocument.drawing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drawings/drawing23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5195" windowHeight="8955" tabRatio="833" activeTab="0"/>
  </bookViews>
  <sheets>
    <sheet name="Seite 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7" sheetId="7" r:id="rId7"/>
    <sheet name="19" sheetId="8" r:id="rId8"/>
    <sheet name="40" sheetId="9" r:id="rId9"/>
    <sheet name="42" sheetId="10" r:id="rId10"/>
    <sheet name="43-1" sheetId="11" r:id="rId11"/>
    <sheet name="43-2" sheetId="12" r:id="rId12"/>
    <sheet name="44" sheetId="13" r:id="rId13"/>
    <sheet name="55" sheetId="14" r:id="rId14"/>
    <sheet name="59" sheetId="15" r:id="rId15"/>
    <sheet name="61" sheetId="16" r:id="rId16"/>
    <sheet name="64" sheetId="17" r:id="rId17"/>
    <sheet name="68" sheetId="18" r:id="rId18"/>
    <sheet name="69" sheetId="19" r:id="rId19"/>
    <sheet name="71" sheetId="20" r:id="rId20"/>
    <sheet name="83" sheetId="21" r:id="rId21"/>
    <sheet name="84" sheetId="22" r:id="rId22"/>
    <sheet name="85" sheetId="23" r:id="rId23"/>
    <sheet name="89" sheetId="24" r:id="rId24"/>
    <sheet name="90-1" sheetId="25" r:id="rId25"/>
    <sheet name="90-2" sheetId="26" r:id="rId26"/>
    <sheet name="91-1" sheetId="27" r:id="rId27"/>
    <sheet name="91-2" sheetId="28" r:id="rId28"/>
    <sheet name="92" sheetId="29" r:id="rId29"/>
    <sheet name="96" sheetId="30" r:id="rId30"/>
    <sheet name="100" sheetId="31" r:id="rId31"/>
    <sheet name="103" sheetId="32" r:id="rId32"/>
    <sheet name="104" sheetId="33" r:id="rId33"/>
    <sheet name="106" sheetId="34" r:id="rId34"/>
    <sheet name="158" sheetId="35" r:id="rId35"/>
    <sheet name="202" sheetId="36" r:id="rId36"/>
    <sheet name="215" sheetId="37" r:id="rId37"/>
    <sheet name="222" sheetId="38" r:id="rId38"/>
    <sheet name="229" sheetId="39" r:id="rId39"/>
    <sheet name="231-1" sheetId="40" r:id="rId40"/>
    <sheet name="231-2" sheetId="41" r:id="rId41"/>
    <sheet name="232" sheetId="42" r:id="rId42"/>
    <sheet name="233" sheetId="43" r:id="rId43"/>
    <sheet name="234" sheetId="44" r:id="rId44"/>
    <sheet name="235" sheetId="45" r:id="rId45"/>
    <sheet name="246" sheetId="46" r:id="rId46"/>
    <sheet name="252" sheetId="47" r:id="rId47"/>
    <sheet name="282" sheetId="48" r:id="rId48"/>
    <sheet name="284" sheetId="49" r:id="rId49"/>
    <sheet name="285" sheetId="50" r:id="rId50"/>
    <sheet name="286" sheetId="51" r:id="rId51"/>
    <sheet name="287" sheetId="52" r:id="rId52"/>
    <sheet name="288" sheetId="53" r:id="rId53"/>
    <sheet name="291" sheetId="54" r:id="rId54"/>
    <sheet name="297" sheetId="55" r:id="rId55"/>
    <sheet name="298" sheetId="56" r:id="rId56"/>
    <sheet name="299" sheetId="57" r:id="rId57"/>
    <sheet name="300" sheetId="58" r:id="rId58"/>
    <sheet name="309-1" sheetId="59" r:id="rId59"/>
    <sheet name="309-2" sheetId="60" r:id="rId60"/>
    <sheet name="310-1" sheetId="61" r:id="rId61"/>
    <sheet name="310-2" sheetId="62" r:id="rId62"/>
    <sheet name="311" sheetId="63" r:id="rId63"/>
    <sheet name="332" sheetId="64" r:id="rId64"/>
    <sheet name="351" sheetId="65" r:id="rId65"/>
    <sheet name="352-1" sheetId="66" r:id="rId66"/>
    <sheet name="352-2" sheetId="67" r:id="rId67"/>
    <sheet name="353-1" sheetId="68" r:id="rId68"/>
    <sheet name="353-2" sheetId="69" r:id="rId69"/>
    <sheet name="359" sheetId="70" r:id="rId70"/>
    <sheet name="383" sheetId="71" r:id="rId71"/>
    <sheet name="386" sheetId="72" r:id="rId72"/>
    <sheet name="387" sheetId="73" r:id="rId73"/>
    <sheet name="389" sheetId="74" r:id="rId74"/>
    <sheet name="390" sheetId="75" r:id="rId75"/>
    <sheet name="408" sheetId="76" r:id="rId76"/>
    <sheet name="412" sheetId="77" r:id="rId77"/>
    <sheet name="416" sheetId="78" r:id="rId78"/>
    <sheet name="418" sheetId="79" r:id="rId79"/>
    <sheet name="422" sheetId="80" r:id="rId80"/>
    <sheet name="423" sheetId="81" r:id="rId81"/>
    <sheet name="426 &amp; 427-1&amp;2 &amp; 428" sheetId="82" r:id="rId82"/>
    <sheet name="430" sheetId="83" r:id="rId83"/>
    <sheet name="432" sheetId="84" r:id="rId84"/>
    <sheet name="433" sheetId="85" r:id="rId85"/>
    <sheet name="434" sheetId="86" r:id="rId86"/>
    <sheet name="438" sheetId="87" r:id="rId87"/>
    <sheet name="444 &amp; 445" sheetId="88" r:id="rId8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<sst xmlns="http://schemas.openxmlformats.org/spreadsheetml/2006/main" count="1257" uniqueCount="616">
  <si>
    <t>Im Folgenden wird ein Betrieb untersucht, der nach HGB bilanziert. Der</t>
  </si>
  <si>
    <t>Unternehmer zahlt 240.000 EUR (Eigenkapital ) aus seinem Privatvermögen auf das</t>
  </si>
  <si>
    <t>Bankkonto seines Betriebes ein. Die Bank stellt einen langfristigen Kredit von</t>
  </si>
  <si>
    <t>160.000 EUR (Fremdkapital ) zur Verfügung.</t>
  </si>
  <si>
    <t>Der Betrieb besitzt Zahlungsmittel in Höhe von 400.000 EUR (Vermögen). Davon</t>
  </si>
  <si>
    <t>entfallen 240.000 EUR auf den Unternehmer. 160.000 EUR schuldet er der Bank.</t>
  </si>
  <si>
    <t>(2) Die Zahlungsmittel werden zur Beschaffung von Sachgütern verwendet (Investition).</t>
  </si>
  <si>
    <t>Der Zahlungsbereich verkleinert sich, der Investitionsbereich vergrößert</t>
  </si>
  <si>
    <t>sich (Aktivtausch ). Der Kapitalbereich bleibt unverändert. Dieser Ausgabe- und</t>
  </si>
  <si>
    <t>Beschaffungsvorgang entspricht der Phase II im obigen Kreislaufschema.</t>
  </si>
  <si>
    <t>(1) Der Betrieb beschafft sich zunächst Mittel von außen (Finanzierung), die im Kapitalbereich</t>
  </si>
  <si>
    <t>als Eigen- und Fremdkapital, im Zahlungsbereich als Zahlungsmittel</t>
  </si>
  <si>
    <t>(Kasse, Bank) erscheinen. Dieser Einnahmevorgang entspricht der Phase I im</t>
  </si>
  <si>
    <t>obigen Kreislaufschema.</t>
  </si>
  <si>
    <t>Herausforderung:</t>
  </si>
  <si>
    <t>Beispiel:</t>
  </si>
  <si>
    <t>Lösung:</t>
  </si>
  <si>
    <t>ja</t>
  </si>
  <si>
    <t>nein</t>
  </si>
  <si>
    <t>Kauf eines Gebäudes 160.000 EUR</t>
  </si>
  <si>
    <t>Kauf von Rohstoffen 120.000 EUR</t>
  </si>
  <si>
    <t>Die Bezahlung erfolgt aus dem Bankkonto.</t>
  </si>
  <si>
    <t>Der Bestand an Vermögen und Kapital bleibt unverändert, jedoch ändert sich die</t>
  </si>
  <si>
    <t>Investitionsbereich (Aktivtausch). Ein Erfolg (Gewinn oder Verlust) tritt nicht ein.</t>
  </si>
  <si>
    <t>(3) Die Beschaffung von Sachgütern (Investition ) erfolgt auf Kredit (Liefe rantenverbindlichkeiten</t>
  </si>
  <si>
    <t>). Investitionsbereich und Kapitalbereich vergrößern sich</t>
  </si>
  <si>
    <t>gleichermaßen, der Zahlungsbereich wird zunächst nicht berührt. Dieser Vorgang</t>
  </si>
  <si>
    <t>vereinigt Phase I und II des obigen Kreislaufschemas. Investition und Finanzierung</t>
  </si>
  <si>
    <t>erfolgen simultan.</t>
  </si>
  <si>
    <t>Es werden die gleichen Geschäftsvorfälle wie im vorherigen Beispiel angenommen;</t>
  </si>
  <si>
    <t>die Rohstoffe werden jedoch auf Kredit (Lieferantenkredit = kurzfristige</t>
  </si>
  <si>
    <t>Verbindlichkeiten) gekauft.</t>
  </si>
  <si>
    <t>Der Bestand an Vermögen erhöht sich wegen der anders gearteten Zahlungsbedingungen</t>
  </si>
  <si>
    <t>beim Rohstoffeinkauf um den Betrag, der dem Bankkonto gegenüber</t>
  </si>
  <si>
    <t>dem vorherigen Beispiel weniger entnommen wird, der Bestand an Kapital erhöht</t>
  </si>
  <si>
    <t>sich um die Lieferantenschulden (Bilanzverlängerung ). Auch dieser Vor gang ist</t>
  </si>
  <si>
    <t>erfolgsneutral. Es ändert sich nicht nur die Vermögensstruktur, sondern auch der</t>
  </si>
  <si>
    <t>Gesamtbestand des Vermögens. Gleiches gilt für die Kapitalseite.</t>
  </si>
  <si>
    <t>(4) Der Prozess der Leistungserstellung führt zu einer Umformung von Sachgütern</t>
  </si>
  <si>
    <t>(Rohstoffe, Maschinennutzungen) und Arbeits- und Dienstleistungen in Ertragsgüter</t>
  </si>
  <si>
    <t>(Halb- und Fertigfabrikate) zu Fertigfabrikaten (siehe grauer Bereich in</t>
  </si>
  <si>
    <t>Bilanz 2). Es tritt eine Umschichtung (Aktiv tausch) teilweise im Investitionsbe-</t>
  </si>
  <si>
    <t>reich (Verbrauch an Rohstoffen und Umformung zu Fertigfabrikaten), teilweise</t>
  </si>
  <si>
    <t>durch Wechselwirkung zwischen Zahlungsbereich und Investitionsbereich ein</t>
  </si>
  <si>
    <t>(z.B. Zahlung von Löhnen und Eingang der Arbeitsleistungen in die Fertigfabrikate).</t>
  </si>
  <si>
    <t>Es werden Fertigfabrikate produziert. Ihre Herstellungskosten setzen sich</t>
  </si>
  <si>
    <t>folgendermaßen zusammen:</t>
  </si>
  <si>
    <t>140.000 EUR</t>
  </si>
  <si>
    <t>Dem Verbrauch an Produktionsfaktoren im Werte von 140.000 EUR steht der Wert</t>
  </si>
  <si>
    <t>der Fertigfabrikate in Höhe der Herstellungskosten von 140.000 EUR gegenüber.</t>
  </si>
  <si>
    <t>108. 000 EUR</t>
  </si>
  <si>
    <t xml:space="preserve">Rohstoffe </t>
  </si>
  <si>
    <t>Gebäudeabschreibung</t>
  </si>
  <si>
    <t xml:space="preserve">Maschinenabschreibung </t>
  </si>
  <si>
    <t>Löhne und sonstige Aufwendungen</t>
  </si>
  <si>
    <t>Der Bestand an Vermögen und Kapital wird nicht verändert. Es ist zwar eine betriebliche</t>
  </si>
  <si>
    <t>Leistung (Fertigfabrikate = Ertrag) erzielt worden, jedoch entspricht der Ertrag</t>
  </si>
  <si>
    <t>wertmäßig dem Aufwand, ein Gewinn oder Verlust entsteht nicht.</t>
  </si>
  <si>
    <t>4.000 EUR</t>
  </si>
  <si>
    <t>8.000 EUR</t>
  </si>
  <si>
    <t>20.000 EUR</t>
  </si>
  <si>
    <t>(5) Der Absatz der Ertragsgüter führt über den Absatzmarkt zu einem Rückfluss</t>
  </si>
  <si>
    <t>der Geldmittel aus dem Investitionsbereich in den Zahlungsbereich, es tritt eine</t>
  </si>
  <si>
    <t>Desinvestition in Höhe der Gebäude- und Maschinenabschreibungen, des Ma-</t>
  </si>
  <si>
    <t>terialverbrauchs, der investierten Löhne usw. ein. Dieser Vorgang entspricht der</t>
  </si>
  <si>
    <t>Phase III (Kapitalrückfluss ) des obigen Kreislaufschemas.</t>
  </si>
  <si>
    <t>Die Fertigfabrikate werden zu 200.000 EUR verkauft. Der Kaufpreis geht</t>
  </si>
  <si>
    <t>auf dem Bankkonto ein. Es wird der Einfachheit halber unterstellt, dass beim Verkauf</t>
  </si>
  <si>
    <t>keine weiteren Aufwendungen anfallen.</t>
  </si>
  <si>
    <t>Der Markt vergütet den Wert der eingesetzten Kostengüter zurück, außerdem geht</t>
  </si>
  <si>
    <t>ein Mehrbetrag von 60.000 EUR ein. Es ist also ein Gewinn entstanden, der sich in</t>
  </si>
  <si>
    <t>einer Vermehrung des Eigenkapitals zeigt. Das Bilanzvolumen hat sich vergrößert</t>
  </si>
  <si>
    <t>(Bilanzverlängerung ).</t>
  </si>
  <si>
    <t>Der Unternehmer entnimmt 30.000 EUR des Gewinns, außerdem zahlt er</t>
  </si>
  <si>
    <t>50.000 EUR langfristige Schulden zurück, die finanziellen Mittel des Betriebes mindern</t>
  </si>
  <si>
    <t>sich also um insgesamt 80.000 EUR.</t>
  </si>
  <si>
    <t>(6) …</t>
  </si>
  <si>
    <t>(7) …</t>
  </si>
  <si>
    <t>…</t>
  </si>
  <si>
    <t>Es wird unterstellt, dass der Betrieb Verkaufs erlöse</t>
  </si>
  <si>
    <t>in Höhe von 200.000 EUR durch den Absatz von Fertigfabrikaten erzielt, deren Herstellungskosten</t>
  </si>
  <si>
    <t>sich folgendermaßen zusammensetzen (von Verwaltungs- und Vertriebskosten</t>
  </si>
  <si>
    <t>wird zur Vereinfachung abgesehen):</t>
  </si>
  <si>
    <t>Die mögliche Nutzungsabgabe aller Maschinen hat sich in der Periode um</t>
  </si>
  <si>
    <t>100 Einheiten vermindert. Diese Wertminderung wird durch Abschreibungen erfasst.</t>
  </si>
  <si>
    <t>Aus den vom Markt zurückvergüteten Abschreibungsgegenwerten wird eine</t>
  </si>
  <si>
    <t>neue Maschine beschafft, die insgesamt 100 Einheiten produzieren kann. Die Gesamtkapazität</t>
  </si>
  <si>
    <t>ist also konstant geblieben; da aber in der folgenden Periode mehr</t>
  </si>
  <si>
    <t>Maschinen zur Verfügung stehen, die Nutzungen abgeben können, hat die Periodenkapazität</t>
  </si>
  <si>
    <t>zugenommen.</t>
  </si>
  <si>
    <t>Fall 4</t>
  </si>
  <si>
    <t>Fall 3</t>
  </si>
  <si>
    <t>Fall 2</t>
  </si>
  <si>
    <t>Fall 1</t>
  </si>
  <si>
    <t>(3) Liegt die Gesamtkapitalrentabilität unter dem Fremdkapitalzins, ist sie aber noch</t>
  </si>
  <si>
    <t>positiv, so fällt die Eigenkapitalrentabilität mit wachsender Verschuldung vom</t>
  </si>
  <si>
    <t>positiven in den negativen Bereich. Eine negative Eigenkapitalrentabilität von</t>
  </si>
  <si>
    <t>7 % (Fall 4) bedeutet, dass von dem Eigenkapital in Höhe von 25.000 EUR 7 % =</t>
  </si>
  <si>
    <t>1.750 EUR aufgezehrt werden, also nur noch 23.250 EUR Eigenkapital vorhanden</t>
  </si>
  <si>
    <t>sind.</t>
  </si>
  <si>
    <t>Rendite</t>
  </si>
  <si>
    <t>Nachzahlung</t>
  </si>
  <si>
    <t>Beträgt die Haftsumme 1.500 EUR, die Höhe eines Geschäftsanteils</t>
  </si>
  <si>
    <t>1.000 EUR und das Geschäftsguthaben eines Genossen z.B. 700 EUR, so hat er im</t>
  </si>
  <si>
    <t>Konkursfall 800 EUR zu zahlen: 300 EUR als Resteinzahlung auf den Geschäftsanteil</t>
  </si>
  <si>
    <t>und 500 EUR als Nachschuss.</t>
  </si>
  <si>
    <t>EUR</t>
  </si>
  <si>
    <t>Der Gesellschafter C scheidet zum Jahresablauf aus der Gesellschaft aus.</t>
  </si>
  <si>
    <t>In den Grundstücken und Gebäuden stecken 6.000 EUR, in den maschinellen Anlagen</t>
  </si>
  <si>
    <t>15.000 EUR und in den Vorräten 9.000 EUR stille Rücklagen. Die Gesellschafter</t>
  </si>
  <si>
    <t>sind laut Gesellschaftsvertrag entsprechend ihren Kapitalanteilen an den stillen</t>
  </si>
  <si>
    <t>Rücklagen beteiligt. Für den Fall einer Auseinandersetzung wurden die Berücksichtigung</t>
  </si>
  <si>
    <t>eines Firmenwertes und die Beteiligung an den noch schwebenden Geschäften</t>
  </si>
  <si>
    <t>ausdrücklich ausgeschlossen. Es wird nur der auf C entfallende Teil der stillen</t>
  </si>
  <si>
    <t>Rücklagen aufgedeckt.</t>
  </si>
  <si>
    <t>Der Verlustvortrag einer Aktiengesellschaft beträgt 700.000 EUR bei einem</t>
  </si>
  <si>
    <t>Grundkapital von 4.000.000 EUR. Die Aktie wird an der Börse mit 0,84 EUR je Stück</t>
  </si>
  <si>
    <t>notiert. Die Hauptversammlung akzeptiert das Sanierungskonzept des Vorstandes</t>
  </si>
  <si>
    <t>und beschließt:</t>
  </si>
  <si>
    <t>(1) Das Grundkapital wird durch Zusammenlegung von Aktien im Verhältnis von 4 : 3</t>
  </si>
  <si>
    <t>um 1 Mio. EUR im Wege der vereinfachten Kapitalherabsetzung herabgesetzt.</t>
  </si>
  <si>
    <t>(2) Gleichzeitig wird eine Kapitalerhöhung im Verhältnis 3 : 1 durchgeführt. Der</t>
  </si>
  <si>
    <t>Ausgabekurs der jungen Aktien wird auf 1,00 EUR festgesetzt.</t>
  </si>
  <si>
    <t>Durch die Umbuchungen hat sich vermögensmäßig nichts verändert. Das Vermögen</t>
  </si>
  <si>
    <t>eines Aktionärs, der vor der Kapitalherabsetzung vier Aktien besaß (4 x 0,84 EUR</t>
  </si>
  <si>
    <t>= 3,36 EUR), ist unverändert geblieben, sein Vermögen besteht jetzt – Zusammenlegung</t>
  </si>
  <si>
    <t>unterstellt – aus drei Aktien, die aber – sieht man von sonstigen Börseneinflüssen</t>
  </si>
  <si>
    <t>ab – mit 1,12 EUR notiert werden (3 x 1,12 = 3,36 EUR). Die sich anschließende</t>
  </si>
  <si>
    <t>Kapitalerhöhung im Verhältnis 3 : 1 führt zu einem neuen Kurs von 1,09 EUR.186 Der</t>
  </si>
  <si>
    <t>Gesellschaft fließt zusätzlich eine Million EUR zu.</t>
  </si>
  <si>
    <t>Mit Hilfe einer Risikoanalyse wird nunmehr ein „Worst-Case-Szenario “ berechnet,</t>
  </si>
  <si>
    <t>das aus Sicht der Unternehmensleitung mit 99 %iger Sicherheit nicht mehr</t>
  </si>
  <si>
    <t>unterschritten wird (vgl. Abb. 53). Die Unternehmensleitung berücksichtigt dabei</t>
  </si>
  <si>
    <t>(vereinfachend) nur einen Risikofaktor, nämlich die Möglichkeit einer (negativen)</t>
  </si>
  <si>
    <t>Abweichung vom geplanten Umsatz und unterstellt, dass andere Risiken (die die</t>
  </si>
  <si>
    <t>Kosten beeinflussen) vernachlässigbar sind. Als „bewertungsrelevantes Worst-Case-</t>
  </si>
  <si>
    <t>Szenario“ betrachtet die Unternehmensleitung dabei einen möglichen Umsatzrückgang</t>
  </si>
  <si>
    <t>um 40 %, so dass sich in diesem Szenario folgende Erfolgsrechnung ergibt:</t>
  </si>
  <si>
    <t>Jahr</t>
  </si>
  <si>
    <t>Zinsen</t>
  </si>
  <si>
    <t>Tilgung</t>
  </si>
  <si>
    <t>Zinssatz</t>
  </si>
  <si>
    <t>Laufzeit</t>
  </si>
  <si>
    <t>Darlehensstand zu Beginn</t>
  </si>
  <si>
    <t>Tilgungssatz t1</t>
  </si>
  <si>
    <t>Jahre</t>
  </si>
  <si>
    <t>Berechnung Rentenbarwertfaktor</t>
  </si>
  <si>
    <t>Disagio</t>
  </si>
  <si>
    <t>Kaufpreis</t>
  </si>
  <si>
    <t>Rückzahlungskurs</t>
  </si>
  <si>
    <t>Unterjährige Verzinsung</t>
  </si>
  <si>
    <t>Tag</t>
  </si>
  <si>
    <t>Tage</t>
  </si>
  <si>
    <t>Spesen</t>
  </si>
  <si>
    <t>Zinsbelastung</t>
  </si>
  <si>
    <t>Cap</t>
  </si>
  <si>
    <t>p.a.</t>
  </si>
  <si>
    <t>Marge</t>
  </si>
  <si>
    <t>Zeit</t>
  </si>
  <si>
    <t>AfA p.a.</t>
  </si>
  <si>
    <t>- Reininv.</t>
  </si>
  <si>
    <t>Freiges. Mittel</t>
  </si>
  <si>
    <t>Anlage</t>
  </si>
  <si>
    <t>AB</t>
  </si>
  <si>
    <t>A</t>
  </si>
  <si>
    <t>EB</t>
  </si>
  <si>
    <t>Buchwert</t>
  </si>
  <si>
    <t>Anzahl Anlagen</t>
  </si>
  <si>
    <t>Kapazität</t>
  </si>
  <si>
    <t>=</t>
  </si>
  <si>
    <t>Unterjährig:</t>
  </si>
  <si>
    <t>Vermögensstruktur: Es erfolgt eine Umschichtung zwischen Zahlungsbereich und</t>
  </si>
  <si>
    <t>Ja</t>
  </si>
  <si>
    <t>Rentenbarwertfaktor</t>
  </si>
  <si>
    <t>Abzinsungsfaktor</t>
  </si>
  <si>
    <t>Barwert der optionsanleihe im Emissionszeitpunkt</t>
  </si>
  <si>
    <t>Barwert der Mindestverzinsung</t>
  </si>
  <si>
    <t>Nennwert der Anleihe</t>
  </si>
  <si>
    <t>i =</t>
  </si>
  <si>
    <t xml:space="preserve">Laufzeit </t>
  </si>
  <si>
    <t>Börsenwert von 800 alten Aktien</t>
  </si>
  <si>
    <t>Optionspreis von 50 neuen Aktien</t>
  </si>
  <si>
    <t>Mischkurs</t>
  </si>
  <si>
    <t>Wert der Aktie =</t>
  </si>
  <si>
    <t>Optionspreis =</t>
  </si>
  <si>
    <t xml:space="preserve">Anzahl alte Aktien = </t>
  </si>
  <si>
    <t xml:space="preserve">Anzahl Optionsrechte = </t>
  </si>
  <si>
    <t>Optionsrecht (2,75%-Punkte Mindestverzinsung bezogen auf 50 Aktien)</t>
  </si>
  <si>
    <t>Mindestverzinsung je Optionsaktie =</t>
  </si>
  <si>
    <t>Anzahl der Bezugsrechte =</t>
  </si>
  <si>
    <t>800 Bezugsrechte für Bezug nominal. 1000 EUR Optionsanleihe</t>
  </si>
  <si>
    <t>Bezugsrecht (Kurs der alten Aktie abzüglich Mischkurs)</t>
  </si>
  <si>
    <t>Bezugsrecht =</t>
  </si>
  <si>
    <t>Rechnerischer Mitteleinsatz für 50 Aktien</t>
  </si>
  <si>
    <t>Rechnerischer Mitteleinsatz für 1 Aktie</t>
  </si>
  <si>
    <t xml:space="preserve">Anzahl Aktien = </t>
  </si>
  <si>
    <t>Optionspreis für 50 Aktien</t>
  </si>
  <si>
    <t>Optionsrecht (3,25%-Punkte Minderverzinsung bezogen auf 50 Aktien)</t>
  </si>
  <si>
    <t>800 Bezugsrechte für Bezug nominal 1000 EUR Optionsanleihe</t>
  </si>
  <si>
    <t>Prämie bei Kurs 24,85 EUR ex Bezugsrecht</t>
  </si>
  <si>
    <t>Ertrag</t>
  </si>
  <si>
    <t>Investition</t>
  </si>
  <si>
    <t>In EUR</t>
  </si>
  <si>
    <t>Gesamtkapital</t>
  </si>
  <si>
    <t>Fremdkapital</t>
  </si>
  <si>
    <t>Eigenkapital</t>
  </si>
  <si>
    <t>Verschuldungsgrad</t>
  </si>
  <si>
    <t>Gewinn vor Fremdkapitalzinsen</t>
  </si>
  <si>
    <t>- 7 % Fremdkapitalzinsen</t>
  </si>
  <si>
    <t>Gewinn</t>
  </si>
  <si>
    <t>Eigenkapitalrentabilität</t>
  </si>
  <si>
    <t>Fremdkapitalzinssatz</t>
  </si>
  <si>
    <t>Eigenkapitalrentabilität Fall 1</t>
  </si>
  <si>
    <t>Eigenkapitalrentabilität Fall 2</t>
  </si>
  <si>
    <t>Eigenkapitalrentabilität Fall 3</t>
  </si>
  <si>
    <t>Eigenkapitalrentabilität Fall 4</t>
  </si>
  <si>
    <t>Kurs (in % vom Nennwert)</t>
  </si>
  <si>
    <t>Dividende (in % vom Nennwert)</t>
  </si>
  <si>
    <t>Aktie 1</t>
  </si>
  <si>
    <t>Aktie 2</t>
  </si>
  <si>
    <t>Kurswert</t>
  </si>
  <si>
    <t>Dividende (absolut)/pro Stück</t>
  </si>
  <si>
    <t>Nennwertaktie 1</t>
  </si>
  <si>
    <t>Nennwertaktie 2</t>
  </si>
  <si>
    <t>Stückaktie</t>
  </si>
  <si>
    <t>Nennwert</t>
  </si>
  <si>
    <t>Nennwertaktie</t>
  </si>
  <si>
    <t>Stück</t>
  </si>
  <si>
    <t>zu Kurs</t>
  </si>
  <si>
    <t>Dividende Vorzugsaktionär (je Aktie)</t>
  </si>
  <si>
    <t>Dividende Stammaktionär (je Aktie)</t>
  </si>
  <si>
    <t>Anzahl Vorzugsaktien</t>
  </si>
  <si>
    <t>Anzahl Stammaktien</t>
  </si>
  <si>
    <t>Gewinnanteil in EUR je Aktiengattung</t>
  </si>
  <si>
    <t>Vorzugsaktien</t>
  </si>
  <si>
    <t>Stammaktien</t>
  </si>
  <si>
    <t>Dividendensatz in EUR je Aktie</t>
  </si>
  <si>
    <t>Vereinbarte Vorzugsdividende</t>
  </si>
  <si>
    <t>Gezahlte Vorzugsdividende</t>
  </si>
  <si>
    <t>Jahr (Werte in EUR)</t>
  </si>
  <si>
    <t>Rückstand des Jahres</t>
  </si>
  <si>
    <t>Kumulierter Rückstand</t>
  </si>
  <si>
    <t>Stimmrecht</t>
  </si>
  <si>
    <t>Gezeichnetes Kapital</t>
  </si>
  <si>
    <t>Kapitalrücklagen</t>
  </si>
  <si>
    <t>Gewinnrücklagen</t>
  </si>
  <si>
    <t>Gesetzliche Rücklage</t>
  </si>
  <si>
    <t>Andere</t>
  </si>
  <si>
    <t>Verlustvortrag</t>
  </si>
  <si>
    <t>Verbindlichkeiten</t>
  </si>
  <si>
    <t>Nennwert der Aktie</t>
  </si>
  <si>
    <t>Summe</t>
  </si>
  <si>
    <t>Bilanziertes Eigenkapital</t>
  </si>
  <si>
    <t>Bilanzkurs (in %)</t>
  </si>
  <si>
    <t>Bilanzkurs (in EUR)</t>
  </si>
  <si>
    <t>Kapitalerhöhung</t>
  </si>
  <si>
    <t>Anzahl alte Aktien</t>
  </si>
  <si>
    <t>Anzahl junge Aktien</t>
  </si>
  <si>
    <t>In Stück</t>
  </si>
  <si>
    <t>Bisheriges Grundkapital</t>
  </si>
  <si>
    <t>Kurswert alte Aktien</t>
  </si>
  <si>
    <t>Kurswert junge Aktien</t>
  </si>
  <si>
    <t>Kurs alte Aktien</t>
  </si>
  <si>
    <t>Kurs junge Aktien</t>
  </si>
  <si>
    <t>Neuer Kurs je Aktie</t>
  </si>
  <si>
    <t>Alte Aktien</t>
  </si>
  <si>
    <t>Junge Aktien</t>
  </si>
  <si>
    <t>Alter Kurs</t>
  </si>
  <si>
    <t>Bezugskurs</t>
  </si>
  <si>
    <t>In EUR bzw. Stück</t>
  </si>
  <si>
    <t>Zahl</t>
  </si>
  <si>
    <t>Mittelkurs</t>
  </si>
  <si>
    <t>Kurswert I</t>
  </si>
  <si>
    <t>Kurswert II</t>
  </si>
  <si>
    <t>Kurswertdifferenz</t>
  </si>
  <si>
    <t>Insgesamt</t>
  </si>
  <si>
    <t>Kurs alter Aktien</t>
  </si>
  <si>
    <t>Ausgabekurs junger Aktien</t>
  </si>
  <si>
    <t>Bezugsrecht</t>
  </si>
  <si>
    <t>Erwartete Dividende</t>
  </si>
  <si>
    <t>Dividendenberechtigt (junger Aktien in %)</t>
  </si>
  <si>
    <t>Kurs alte Aktie</t>
  </si>
  <si>
    <t>Kapitalbedarf</t>
  </si>
  <si>
    <t>Anzahl alter Aktien</t>
  </si>
  <si>
    <t>Grundkapital</t>
  </si>
  <si>
    <t>Bezugskurs in EUR/Stück</t>
  </si>
  <si>
    <t>Benötigte Mittel in Mio. EUR</t>
  </si>
  <si>
    <t>Bezugsverhältnis</t>
  </si>
  <si>
    <t>Rücklagendotierung in Mio. EUR</t>
  </si>
  <si>
    <t>Bezugsrecht in EUR/Stück</t>
  </si>
  <si>
    <t>Kurs ex BR in EUR/Stück</t>
  </si>
  <si>
    <t>Kapitalerhöhung in Mio. EUR …zu 1</t>
  </si>
  <si>
    <t>Anzahl neuer Aktien</t>
  </si>
  <si>
    <t>Auszahlung</t>
  </si>
  <si>
    <t>Einzahlung</t>
  </si>
  <si>
    <t>Saldo</t>
  </si>
  <si>
    <t>Internal Rate of Return</t>
  </si>
  <si>
    <t>Darlehensvolumen</t>
  </si>
  <si>
    <t>Freijahre</t>
  </si>
  <si>
    <t>Tilgung p.a.</t>
  </si>
  <si>
    <t>Zinssatz p.a.</t>
  </si>
  <si>
    <t>Annuität</t>
  </si>
  <si>
    <t>Darlehensbetrag in to</t>
  </si>
  <si>
    <t>- Annuität x Rentenbarwertfaktor</t>
  </si>
  <si>
    <t>Darlehensrestschuld bezogen auf to</t>
  </si>
  <si>
    <t>Restzahlung</t>
  </si>
  <si>
    <t>Tilgung t1</t>
  </si>
  <si>
    <t>Nominalzinssatz</t>
  </si>
  <si>
    <t>Damnum</t>
  </si>
  <si>
    <t>Effektivzinssatz</t>
  </si>
  <si>
    <t>Anlagebetrag (in EUR)</t>
  </si>
  <si>
    <t>Tage zwischen Zinsgutschrift</t>
  </si>
  <si>
    <t>Tage bis Zinsgutschrift</t>
  </si>
  <si>
    <t>Kupon</t>
  </si>
  <si>
    <t>Zinsgutschrift des Betriebes</t>
  </si>
  <si>
    <t>- Stückzinsen für</t>
  </si>
  <si>
    <t>Zinsertrag des Käufers</t>
  </si>
  <si>
    <t>Einlösungsbetrag</t>
  </si>
  <si>
    <t>Laufzeit in Jahre</t>
  </si>
  <si>
    <t>Ausgabetrag</t>
  </si>
  <si>
    <t>BWF/ZWF</t>
  </si>
  <si>
    <t>Abzinsen</t>
  </si>
  <si>
    <t>Aufzinsen</t>
  </si>
  <si>
    <t>Aufzinsungsanleihe</t>
  </si>
  <si>
    <t>Festverzinsliche Anleihe</t>
  </si>
  <si>
    <t>Anleihebetrag</t>
  </si>
  <si>
    <t>ZWF</t>
  </si>
  <si>
    <t>Fall</t>
  </si>
  <si>
    <t>Kurzfristige Zinsen</t>
  </si>
  <si>
    <t>Nominalwert</t>
  </si>
  <si>
    <t>Laufzeit in Jahren</t>
  </si>
  <si>
    <t>x</t>
  </si>
  <si>
    <t>Zinszahlung</t>
  </si>
  <si>
    <t>Rückzahlung</t>
  </si>
  <si>
    <t>Barwert der Anleihe im Emissionszeitpunkt</t>
  </si>
  <si>
    <t>Berechnung der Barwerte (in EUR):</t>
  </si>
  <si>
    <t>Ausgabekurs</t>
  </si>
  <si>
    <t>Einmalige Begebungskosten</t>
  </si>
  <si>
    <t>(geschätzt):</t>
  </si>
  <si>
    <t>des Nennwertes</t>
  </si>
  <si>
    <t>Laufende Kosten (geschätzt):</t>
  </si>
  <si>
    <t>Effektive Zinsbelastung des Unternehmens (vor Steuern)</t>
  </si>
  <si>
    <t>Effektiver Zinsertrag des Käufers (vor Steuern)</t>
  </si>
  <si>
    <t>Zinssatz nominal</t>
  </si>
  <si>
    <t>Kapitalmarktzinssatz</t>
  </si>
  <si>
    <t>Umsatz</t>
  </si>
  <si>
    <t>Forderungen aus Lieferungen und Leistungen</t>
  </si>
  <si>
    <t>Durchschnittliche Zahlungsziel</t>
  </si>
  <si>
    <t>Mittelbindung</t>
  </si>
  <si>
    <t>Gewinn vor Steuern und Pensionsrückstellungen</t>
  </si>
  <si>
    <t>Pensionsrückstellungen</t>
  </si>
  <si>
    <t>Ertragsteuersatz</t>
  </si>
  <si>
    <t>Finanzierungsvolumen</t>
  </si>
  <si>
    <t>Ertragsteuern</t>
  </si>
  <si>
    <t>Nein</t>
  </si>
  <si>
    <t>Steuerpflichtiger Gewinn</t>
  </si>
  <si>
    <t>Rücklagenbildung</t>
  </si>
  <si>
    <t>Zusätzliches Finanzierungsvolumen duch Pensionsrückstellungen in Höhe der Steuerersparnis</t>
  </si>
  <si>
    <t>Differenz</t>
  </si>
  <si>
    <t>Finanzierungsvolumen (in EUR)</t>
  </si>
  <si>
    <t>Ausschüttung</t>
  </si>
  <si>
    <t>Zusätzliches Finanzierungsvolumen duch Pensionsrückstellungen</t>
  </si>
  <si>
    <t>Konditionen</t>
  </si>
  <si>
    <t>Festsatzkredit</t>
  </si>
  <si>
    <t>Variabler Kredit</t>
  </si>
  <si>
    <t>Fester Zinssatz</t>
  </si>
  <si>
    <t>Variabler Zinssatz</t>
  </si>
  <si>
    <t>Cap Prämie</t>
  </si>
  <si>
    <t>p.a</t>
  </si>
  <si>
    <t>Kreditvolumen</t>
  </si>
  <si>
    <t>Zinsvorteil Cap (+)
Zinsnachteil Cap (-)</t>
  </si>
  <si>
    <t>Zinsveränderung</t>
  </si>
  <si>
    <t>Collar</t>
  </si>
  <si>
    <t>Verkauf Floor Prämie</t>
  </si>
  <si>
    <t>Kauf Cap Prämie</t>
  </si>
  <si>
    <t>Floor Grenze</t>
  </si>
  <si>
    <t>Cap Grenze</t>
  </si>
  <si>
    <t>Ausübungspreis</t>
  </si>
  <si>
    <t>Aktienkurs</t>
  </si>
  <si>
    <t>Optionspreis</t>
  </si>
  <si>
    <t>Prämie</t>
  </si>
  <si>
    <t>Innerer Wert</t>
  </si>
  <si>
    <t>Zeitprämie</t>
  </si>
  <si>
    <t>Status der Option</t>
  </si>
  <si>
    <t>Zahlungsziel in Tagen</t>
  </si>
  <si>
    <t>Skontosatz</t>
  </si>
  <si>
    <t>Skontofrist in Tagen</t>
  </si>
  <si>
    <t>Jahreszinssatz</t>
  </si>
  <si>
    <t>Zahlung</t>
  </si>
  <si>
    <t>nach 2 Monaten Verschleppung</t>
  </si>
  <si>
    <t>zum Zahlungsziel</t>
  </si>
  <si>
    <t>Verschleppung</t>
  </si>
  <si>
    <t>Nominaler Zinssatz</t>
  </si>
  <si>
    <t>Kreditlinie</t>
  </si>
  <si>
    <t>Kreditinanspruchnahme</t>
  </si>
  <si>
    <t>Betrag in EUR</t>
  </si>
  <si>
    <t>Berechnung der Zinszahlungen</t>
  </si>
  <si>
    <t>Kreditinan-spruchnahme 
EUR</t>
  </si>
  <si>
    <t>Wechselbetrag</t>
  </si>
  <si>
    <t>Tage bis Verfall</t>
  </si>
  <si>
    <t>Diskont</t>
  </si>
  <si>
    <t>Zinsdivisor</t>
  </si>
  <si>
    <t>- Diskont</t>
  </si>
  <si>
    <t>- Spesen</t>
  </si>
  <si>
    <t>Gutschrift</t>
  </si>
  <si>
    <t>Zinszahlen 
in EUR</t>
  </si>
  <si>
    <t>Diskont 
in EUR</t>
  </si>
  <si>
    <t>Wechselbetrag
in EUR</t>
  </si>
  <si>
    <t>Ausgleichszahlung</t>
  </si>
  <si>
    <t>Festzins aus dem Forward Rate Agreement</t>
  </si>
  <si>
    <t>Aktueller 6-Monats-LIBOR zu Beginn der Referenzperiode</t>
  </si>
  <si>
    <t>Laufzeit des Kredits/Referenzperiode</t>
  </si>
  <si>
    <t>Bezugsbetrag (Kredit)</t>
  </si>
  <si>
    <t>variabel</t>
  </si>
  <si>
    <t>Konditionen Unternehmen A</t>
  </si>
  <si>
    <t>Konditionen Unternehmen B</t>
  </si>
  <si>
    <t>Festzinssatz</t>
  </si>
  <si>
    <t>+ 6-Monats-LIBOR</t>
  </si>
  <si>
    <t>In % p.a.</t>
  </si>
  <si>
    <t>Unternehmen A</t>
  </si>
  <si>
    <t>Unternehmen B</t>
  </si>
  <si>
    <t>Ausgleichszinsen</t>
  </si>
  <si>
    <t>fest</t>
  </si>
  <si>
    <t>Ausgleichszahlungen</t>
  </si>
  <si>
    <t>Zinsbelastung nach Swap</t>
  </si>
  <si>
    <t>Alternativkondition</t>
  </si>
  <si>
    <t>Vorteil</t>
  </si>
  <si>
    <t>- 6-Monats-LIBOR</t>
  </si>
  <si>
    <t>Swapsatz</t>
  </si>
  <si>
    <t>Neuer Swapsatz</t>
  </si>
  <si>
    <t>Nach Laufzeit in Jahren</t>
  </si>
  <si>
    <t>Zinsen auf</t>
  </si>
  <si>
    <t>Barwert für</t>
  </si>
  <si>
    <t>Jahre von</t>
  </si>
  <si>
    <t>EUR p.a. zu</t>
  </si>
  <si>
    <t>Anschaffungskosten</t>
  </si>
  <si>
    <t>Sonderabschreibungssatz</t>
  </si>
  <si>
    <t>Normaler Abschreibungssatz</t>
  </si>
  <si>
    <t>Abschreibungsbeträge</t>
  </si>
  <si>
    <t>Abzinsungs-faktor</t>
  </si>
  <si>
    <t>mit Sonder-abschreibung
EUR</t>
  </si>
  <si>
    <t>Normale
Abschreibung
EUR</t>
  </si>
  <si>
    <t>Differenz
EUR</t>
  </si>
  <si>
    <t>Steuer-verschiebung
EUR</t>
  </si>
  <si>
    <t>Barwert der 
Steuerverschiebung
EUR</t>
  </si>
  <si>
    <t>Nutzungsdauer</t>
  </si>
  <si>
    <t>Nutzungsdauer in Jahren</t>
  </si>
  <si>
    <t>Kapazitäts-erweiterungsfaktor</t>
  </si>
  <si>
    <t>Reinvestitionsperioden in Jahren</t>
  </si>
  <si>
    <t>Anlagenzahl der Erstausstattung</t>
  </si>
  <si>
    <t>Nutzungsdauer in Reinv.-periode(n)</t>
  </si>
  <si>
    <t>Anlagen</t>
  </si>
  <si>
    <t>Periodenkapazität einer Anlage</t>
  </si>
  <si>
    <t>Buchwert- und Kapazitätsentwicklung</t>
  </si>
  <si>
    <t>I. Lineare Abschreibung (Abschreibungsverlauf = Werteverzehr) von 10 %</t>
  </si>
  <si>
    <t>Zahl der Anlagen</t>
  </si>
  <si>
    <t>Periodenkapazität</t>
  </si>
  <si>
    <t>II. Sonderabschreibung von 15 %</t>
  </si>
  <si>
    <t>Sonderabschreibung</t>
  </si>
  <si>
    <t>Anschaffungskosten je Anlage</t>
  </si>
  <si>
    <t>An-lagenzahl</t>
  </si>
  <si>
    <t>Perioden-kapazität
Einh.</t>
  </si>
  <si>
    <t>Gesamt-kapazität
Einh.</t>
  </si>
  <si>
    <t>Einheiten</t>
  </si>
  <si>
    <t>Finanzierung</t>
  </si>
  <si>
    <t>Anschaffungskosten je Anlage
EUR</t>
  </si>
  <si>
    <t>Extern
EUR</t>
  </si>
  <si>
    <t>Abschreibungs-gegenwerte
EUR</t>
  </si>
  <si>
    <t>Rente</t>
  </si>
  <si>
    <t>Barwert V</t>
  </si>
  <si>
    <t>Barwert B</t>
  </si>
  <si>
    <t>Barwert E</t>
  </si>
  <si>
    <t>Barwert a</t>
  </si>
  <si>
    <t>Bilanzstichtag</t>
  </si>
  <si>
    <t>04</t>
  </si>
  <si>
    <t>05</t>
  </si>
  <si>
    <t>06</t>
  </si>
  <si>
    <t>07</t>
  </si>
  <si>
    <t>Zeitpunkt</t>
  </si>
  <si>
    <t>02.01.2004
(Pensionszusage)</t>
  </si>
  <si>
    <t>02.01.2001
(Eintritt)</t>
  </si>
  <si>
    <t>01</t>
  </si>
  <si>
    <t>02</t>
  </si>
  <si>
    <t>03</t>
  </si>
  <si>
    <t>08</t>
  </si>
  <si>
    <t>09</t>
  </si>
  <si>
    <t>10</t>
  </si>
  <si>
    <t>11</t>
  </si>
  <si>
    <t>12</t>
  </si>
  <si>
    <t>Anfangsinvestition</t>
  </si>
  <si>
    <t>Restwert</t>
  </si>
  <si>
    <t>Leasingsatz</t>
  </si>
  <si>
    <t>Mio. EUR</t>
  </si>
  <si>
    <t>Teilamortisation</t>
  </si>
  <si>
    <t>Leasing-Rate p.a.</t>
  </si>
  <si>
    <t>Laufzeit berechnen bei Annuitäten Darlehen</t>
  </si>
  <si>
    <t>Schuld am Anfang des Jahres
EUR</t>
  </si>
  <si>
    <t>Zinsen
EUR</t>
  </si>
  <si>
    <t>Schuld am Ende des Jahres
EUR</t>
  </si>
  <si>
    <t>Schuld am Jahresanfang
EUR</t>
  </si>
  <si>
    <t>Schuld am Jahresende
EUR</t>
  </si>
  <si>
    <t>Anleihezinsen
EUR</t>
  </si>
  <si>
    <t>Zinsschuld am Jahresanfang
EUR</t>
  </si>
  <si>
    <t>Zinseszinsen
EUR</t>
  </si>
  <si>
    <t>Zinsschuld am Jahresende
EUR</t>
  </si>
  <si>
    <t>Nichtausgenutzte
Kreditlinie
EUR</t>
  </si>
  <si>
    <t>Zinszahlunen für nicht ausgenutzte Kreditlinie
EUR</t>
  </si>
  <si>
    <t>Zinszahlungen für
Kreditinanspruchnahme
EUR</t>
  </si>
  <si>
    <t>Festsatzkredit
EUR</t>
  </si>
  <si>
    <t>Variabler Kredit
EUR</t>
  </si>
  <si>
    <t>Cap
EUR</t>
  </si>
  <si>
    <t>Collar
EUR</t>
  </si>
  <si>
    <t>Buchwert/Ab-schreibungen
EUR</t>
  </si>
  <si>
    <t>Periodenkapazität
Einh.</t>
  </si>
  <si>
    <t>Gesamtkapazität
Einh.</t>
  </si>
  <si>
    <t>Barwert der künft. Pensionsrück-stellungen
EUR</t>
  </si>
  <si>
    <t>Barwert der nach dem Bilanzstichtag zu verrechnenden Jahresbeträge
EUR</t>
  </si>
  <si>
    <t>Teilwert
EUR</t>
  </si>
  <si>
    <t>Maximale Zuführung zu den Pensionsrück-stellungen
EUR</t>
  </si>
  <si>
    <t>Bilanzausweis
EUR</t>
  </si>
  <si>
    <t>Jahresbetrag
EUR</t>
  </si>
  <si>
    <t>"Deckungsbetrag"
EUR</t>
  </si>
  <si>
    <t>6 % Zinsen
EUR</t>
  </si>
  <si>
    <t>Rückstellungsbetrag
EUR</t>
  </si>
  <si>
    <t>Barwert der Pensions-leistungen
EUR</t>
  </si>
  <si>
    <t>Zuf./Aufl. Pensions-rückstellung
EUR</t>
  </si>
  <si>
    <t>Pensionszahlung
EUR</t>
  </si>
  <si>
    <t>Aufwand der Periode
EUR</t>
  </si>
  <si>
    <t>Bilanzgewinn
(Gewinnausschüttung in EUR)</t>
  </si>
  <si>
    <t>Darlehensschuld am Jahresanfang
EUR</t>
  </si>
  <si>
    <t>Tilgung
EUR</t>
  </si>
  <si>
    <t>Annuität
EUR</t>
  </si>
  <si>
    <t>Darlehensschuld am Jahresende
EUR</t>
  </si>
  <si>
    <t>Optionsanleihe zu</t>
  </si>
  <si>
    <t>Verkaufspreis</t>
  </si>
  <si>
    <t>Neues Fremdkapital</t>
  </si>
  <si>
    <t>Neues Eigenkapital</t>
  </si>
  <si>
    <t>Eigenkapitalrendite</t>
  </si>
  <si>
    <t>Jahr 0</t>
  </si>
  <si>
    <t>Jahr 1</t>
  </si>
  <si>
    <t>Rücklagen</t>
  </si>
  <si>
    <t>Kapitalerhöhung mit Gesellschaftsmitteln</t>
  </si>
  <si>
    <t>Anzahl ausgegebener Aktien</t>
  </si>
  <si>
    <t>Mio. Stück</t>
  </si>
  <si>
    <t>Bilanzkurs vor Kapitalerhöhung</t>
  </si>
  <si>
    <t>Bilanzkurs nach Kapitalerhöhung</t>
  </si>
  <si>
    <t>In %</t>
  </si>
  <si>
    <t>In Mio. EUR</t>
  </si>
  <si>
    <t>Rechnerischer Anteil einer Aktie am Grundkapital</t>
  </si>
  <si>
    <t>EUR/Stück</t>
  </si>
  <si>
    <t>Stille Rücklagen</t>
  </si>
  <si>
    <t>Korrigierter Bilanzkurs (in %)</t>
  </si>
  <si>
    <t>Jährlicher Reinertrag</t>
  </si>
  <si>
    <t>Kapitalisierungszinsfuß</t>
  </si>
  <si>
    <t>Ertragswert (in EUR)</t>
  </si>
  <si>
    <t>Ertragswertkurs (in EUR)</t>
  </si>
  <si>
    <t>Anteile an den stillen Rücklagen
vor der Kapitalerhöhung</t>
  </si>
  <si>
    <t>Anteile an den stillen Rücklagen
nach der Kapitalerhöhung</t>
  </si>
  <si>
    <t>B</t>
  </si>
  <si>
    <t>Eigenkapital einer OHG
EUR</t>
  </si>
  <si>
    <t>Stille Rücklagen
EUR</t>
  </si>
  <si>
    <t>In EUR
Gesellschafter</t>
  </si>
  <si>
    <t>Eigenkapital-Buchwert</t>
  </si>
  <si>
    <t>Stille
Rücklagen</t>
  </si>
  <si>
    <t>Kapital-erhöhung</t>
  </si>
  <si>
    <t>Gesamtes Eigenkapital</t>
  </si>
  <si>
    <t>C</t>
  </si>
  <si>
    <t>Anteil an stillen Rücklagen</t>
  </si>
  <si>
    <t>Gesellschafter</t>
  </si>
  <si>
    <t>Vor Kapital-erhöhung</t>
  </si>
  <si>
    <t>Nach Kapital-erhöhung</t>
  </si>
  <si>
    <t xml:space="preserve">Fall1 </t>
  </si>
  <si>
    <t xml:space="preserve">Fall 3 </t>
  </si>
  <si>
    <t>Zinszahlen</t>
  </si>
  <si>
    <t>Zinsdevisor</t>
  </si>
  <si>
    <t>Nettozinssatz p.a. bzw. Sollzinssatz p.a. Fall 4</t>
  </si>
  <si>
    <t>Nettozinssatz p.a. bzw. Sollzinssatz p.a. Fall 3</t>
  </si>
  <si>
    <t>Nettozinssatz p.a. bzw. Sollzinssatz p.a. Fall 2</t>
  </si>
  <si>
    <t>Nettozinssatz p.a. bzw. Sollzinssatz p.a. Fall 1</t>
  </si>
  <si>
    <t>Berechnung der Zinsen</t>
  </si>
  <si>
    <t>Berechnung der Kreditprovisionen</t>
  </si>
  <si>
    <t>Berechnungsweise</t>
  </si>
  <si>
    <t>3% auf 100.000 EUR für 90 Tage</t>
  </si>
  <si>
    <t>Keine Provision, 
da Zinssatz</t>
  </si>
  <si>
    <t>Höchste 
Inanspruchnahme 
jeden Monat * 1/4%</t>
  </si>
  <si>
    <t>Zinszahlen 54.000 Zinsdevisor für 3% 
= 120</t>
  </si>
  <si>
    <t>Kreditprovision</t>
  </si>
  <si>
    <t>Gesamtbelastung (Zinsen + Kreditprovision)</t>
  </si>
  <si>
    <t>-</t>
  </si>
  <si>
    <t>Voll ausgenutzte Kreditlinie</t>
  </si>
  <si>
    <t>Zinsen und Kreditprovision</t>
  </si>
  <si>
    <t>Nominalzins p.a.</t>
  </si>
  <si>
    <t>Effektivzins p.a.</t>
  </si>
  <si>
    <t>Ausnutzung der Kreditlinie zu durchschnittlich 40%</t>
  </si>
  <si>
    <t>Zinsen u. 
Kreditprovision</t>
  </si>
  <si>
    <t>Liquide Mittel</t>
  </si>
  <si>
    <t>Kauf von Maschinen 80.000 EUR</t>
  </si>
  <si>
    <t>Bezugsaktien (Stück)</t>
  </si>
  <si>
    <t>Rechnerischer Anteil am Grundkapital insgesamt</t>
  </si>
  <si>
    <t>Kurswert der Bezugsaktien</t>
  </si>
  <si>
    <t>Nennwert der Wandelschuldverschreibung</t>
  </si>
  <si>
    <t>Zuzahlung je Aktie</t>
  </si>
  <si>
    <t>Zuzahlung insgesamt</t>
  </si>
  <si>
    <t>Differenz (3 - 4 - 6)</t>
  </si>
  <si>
    <t>Vorteil aus Wandlungsrecht je €1.000  Nennwert der Wandelanleihe</t>
  </si>
  <si>
    <t>Vor Kapitalerhöhung</t>
  </si>
  <si>
    <t>Ursprüngliche Zuzahlung</t>
  </si>
  <si>
    <t>Reduzierte Zuzahlung</t>
  </si>
  <si>
    <t>Nach Kapitalerhöhung</t>
  </si>
  <si>
    <t>insgesamt 2.000 EUR eintauschen. Der bisherige Vorteil aus dem Wandlungsrecht</t>
  </si>
  <si>
    <t>von 500 EUR je 1.000 EUR Nennwert der Anleihe bleibt erhalten</t>
  </si>
  <si>
    <t>- Nennwert Wandelschuldverschreibung</t>
  </si>
  <si>
    <t>Vorteil aus Wandlungsrecht je €1.000 Nennwert der Wandelanleihe</t>
  </si>
  <si>
    <t>Ein Obligationär kann nun</t>
  </si>
  <si>
    <t xml:space="preserve">Wandelschuldverschreibungen zum Nennwert von je </t>
  </si>
  <si>
    <t>EUR in 400 Aktien mit einem rechnerischen Anteil am Grundkapital von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</si>
</sst>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00%"/>
    <numFmt numFmtId="173" formatCode="0.0000%"/>
    <numFmt numFmtId="174" formatCode="0.00000%"/>
    <numFmt numFmtId="175" formatCode="0.000000%"/>
    <numFmt numFmtId="176" formatCode="#,##0.0"/>
    <numFmt numFmtId="177" formatCode="0.000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_-* #,##0.0\ _€_-;\-* #,##0.0\ _€_-;_-* &quot;-&quot;??\ _€_-;_-@_-"/>
    <numFmt numFmtId="183" formatCode="_-* #,##0\ _€_-;\-* #,##0\ _€_-;_-* &quot;-&quot;??\ _€_-;_-@_-"/>
    <numFmt numFmtId="184" formatCode="#,##0.000"/>
    <numFmt numFmtId="185" formatCode="#,##0.0000"/>
    <numFmt numFmtId="186" formatCode="#,##0.00000"/>
    <numFmt numFmtId="187" formatCode="#,##0.0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68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4" fontId="1" fillId="2" borderId="0" xfId="0" applyNumberFormat="1" applyFont="1" applyFill="1" applyAlignment="1">
      <alignment/>
    </xf>
    <xf numFmtId="10" fontId="1" fillId="2" borderId="0" xfId="17" applyNumberFormat="1" applyFont="1" applyFill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9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9" fontId="0" fillId="0" borderId="0" xfId="17" applyAlignment="1">
      <alignment/>
    </xf>
    <xf numFmtId="3" fontId="1" fillId="0" borderId="0" xfId="15" applyNumberFormat="1" applyFont="1" applyAlignment="1">
      <alignment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 quotePrefix="1">
      <alignment horizontal="right"/>
    </xf>
    <xf numFmtId="16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3" fontId="1" fillId="2" borderId="0" xfId="0" applyNumberFormat="1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1" fillId="2" borderId="0" xfId="0" applyNumberFormat="1" applyFont="1" applyFill="1" applyAlignment="1">
      <alignment/>
    </xf>
    <xf numFmtId="9" fontId="1" fillId="2" borderId="0" xfId="0" applyNumberFormat="1" applyFont="1" applyFill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1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/>
    </xf>
    <xf numFmtId="3" fontId="1" fillId="2" borderId="0" xfId="0" applyNumberFormat="1" applyFont="1" applyFill="1" applyAlignment="1">
      <alignment vertical="top"/>
    </xf>
    <xf numFmtId="10" fontId="1" fillId="2" borderId="0" xfId="17" applyNumberFormat="1" applyFont="1" applyFill="1" applyAlignment="1">
      <alignment vertical="top"/>
    </xf>
    <xf numFmtId="3" fontId="1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9" fontId="1" fillId="0" borderId="0" xfId="0" applyNumberFormat="1" applyFont="1" applyAlignment="1">
      <alignment vertical="top" wrapText="1"/>
    </xf>
    <xf numFmtId="0" fontId="1" fillId="0" borderId="0" xfId="0" applyFont="1" applyAlignment="1" quotePrefix="1">
      <alignment/>
    </xf>
    <xf numFmtId="0" fontId="1" fillId="2" borderId="0" xfId="0" applyFont="1" applyFill="1" applyAlignment="1">
      <alignment horizontal="left" indent="1"/>
    </xf>
    <xf numFmtId="10" fontId="1" fillId="2" borderId="0" xfId="0" applyNumberFormat="1" applyFont="1" applyFill="1" applyAlignment="1">
      <alignment horizontal="left" indent="1"/>
    </xf>
    <xf numFmtId="1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9" fontId="1" fillId="2" borderId="0" xfId="0" applyNumberFormat="1" applyFont="1" applyFill="1" applyAlignment="1">
      <alignment horizontal="right" vertical="top" wrapText="1"/>
    </xf>
    <xf numFmtId="169" fontId="1" fillId="2" borderId="0" xfId="0" applyNumberFormat="1" applyFont="1" applyFill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1" fillId="2" borderId="0" xfId="0" applyFont="1" applyFill="1" applyAlignment="1" quotePrefix="1">
      <alignment horizontal="center"/>
    </xf>
    <xf numFmtId="167" fontId="1" fillId="2" borderId="0" xfId="0" applyNumberFormat="1" applyFont="1" applyFill="1" applyAlignment="1">
      <alignment/>
    </xf>
    <xf numFmtId="187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 quotePrefix="1">
      <alignment horizontal="center" vertical="top" wrapText="1"/>
    </xf>
    <xf numFmtId="4" fontId="1" fillId="2" borderId="0" xfId="0" applyNumberFormat="1" applyFont="1" applyFill="1" applyAlignment="1">
      <alignment vertical="top" wrapText="1"/>
    </xf>
    <xf numFmtId="168" fontId="1" fillId="2" borderId="0" xfId="0" applyNumberFormat="1" applyFont="1" applyFill="1" applyAlignment="1">
      <alignment vertical="top" wrapText="1"/>
    </xf>
    <xf numFmtId="187" fontId="1" fillId="2" borderId="0" xfId="0" applyNumberFormat="1" applyFont="1" applyFill="1" applyAlignment="1">
      <alignment vertical="top" wrapText="1"/>
    </xf>
    <xf numFmtId="9" fontId="1" fillId="2" borderId="0" xfId="17" applyFont="1" applyFill="1" applyAlignment="1">
      <alignment/>
    </xf>
    <xf numFmtId="170" fontId="1" fillId="2" borderId="0" xfId="0" applyNumberFormat="1" applyFont="1" applyFill="1" applyAlignment="1">
      <alignment/>
    </xf>
    <xf numFmtId="0" fontId="1" fillId="2" borderId="0" xfId="0" applyFont="1" applyFill="1" applyAlignment="1" quotePrefix="1">
      <alignment/>
    </xf>
    <xf numFmtId="1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0" fontId="1" fillId="2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2" borderId="0" xfId="17" applyNumberFormat="1" applyFont="1" applyFill="1" applyAlignment="1">
      <alignment vertical="top"/>
    </xf>
    <xf numFmtId="16" fontId="1" fillId="2" borderId="0" xfId="0" applyNumberFormat="1" applyFont="1" applyFill="1" applyAlignment="1">
      <alignment vertical="top" wrapText="1"/>
    </xf>
    <xf numFmtId="1" fontId="1" fillId="2" borderId="0" xfId="0" applyNumberFormat="1" applyFont="1" applyFill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 quotePrefix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0" fontId="1" fillId="2" borderId="0" xfId="0" applyNumberFormat="1" applyFont="1" applyFill="1" applyAlignment="1">
      <alignment vertical="top" wrapText="1"/>
    </xf>
    <xf numFmtId="14" fontId="1" fillId="2" borderId="0" xfId="0" applyNumberFormat="1" applyFont="1" applyFill="1" applyAlignment="1">
      <alignment vertical="top" wrapText="1"/>
    </xf>
    <xf numFmtId="2" fontId="1" fillId="2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2" borderId="0" xfId="0" applyFont="1" applyFill="1" applyAlignment="1" quotePrefix="1">
      <alignment horizontal="left" vertical="top" wrapText="1"/>
    </xf>
    <xf numFmtId="14" fontId="1" fillId="2" borderId="0" xfId="0" applyNumberFormat="1" applyFont="1" applyFill="1" applyAlignment="1">
      <alignment horizontal="right" vertical="top" wrapText="1"/>
    </xf>
    <xf numFmtId="4" fontId="1" fillId="2" borderId="0" xfId="0" applyNumberFormat="1" applyFont="1" applyFill="1" applyAlignment="1">
      <alignment horizontal="right" vertical="top" wrapText="1"/>
    </xf>
    <xf numFmtId="2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9" fontId="1" fillId="2" borderId="0" xfId="17" applyNumberFormat="1" applyFont="1" applyFill="1" applyAlignment="1">
      <alignment/>
    </xf>
    <xf numFmtId="9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 quotePrefix="1">
      <alignment horizontal="center"/>
    </xf>
    <xf numFmtId="3" fontId="1" fillId="2" borderId="0" xfId="0" applyNumberFormat="1" applyFont="1" applyFill="1" applyAlignment="1">
      <alignment horizontal="center" vertical="top"/>
    </xf>
    <xf numFmtId="2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Border="1" applyAlignment="1" quotePrefix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 quotePrefix="1">
      <alignment/>
    </xf>
    <xf numFmtId="10" fontId="1" fillId="2" borderId="0" xfId="17" applyNumberFormat="1" applyFont="1" applyFill="1" applyBorder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center"/>
    </xf>
    <xf numFmtId="186" fontId="1" fillId="2" borderId="0" xfId="0" applyNumberFormat="1" applyFont="1" applyFill="1" applyAlignment="1">
      <alignment/>
    </xf>
    <xf numFmtId="9" fontId="1" fillId="2" borderId="0" xfId="17" applyFont="1" applyFill="1" applyAlignment="1">
      <alignment vertical="top" wrapText="1"/>
    </xf>
    <xf numFmtId="10" fontId="1" fillId="2" borderId="0" xfId="17" applyNumberFormat="1" applyFont="1" applyFill="1" applyAlignment="1">
      <alignment vertical="top" wrapText="1"/>
    </xf>
    <xf numFmtId="9" fontId="1" fillId="2" borderId="0" xfId="17" applyNumberFormat="1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" fillId="2" borderId="0" xfId="0" applyNumberFormat="1" applyFont="1" applyFill="1" applyAlignment="1" quotePrefix="1">
      <alignment vertical="top" wrapText="1"/>
    </xf>
    <xf numFmtId="3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10" fontId="1" fillId="2" borderId="0" xfId="17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" fontId="6" fillId="2" borderId="0" xfId="0" applyNumberFormat="1" applyFont="1" applyFill="1" applyAlignment="1">
      <alignment vertical="top" wrapText="1"/>
    </xf>
    <xf numFmtId="3" fontId="1" fillId="2" borderId="0" xfId="17" applyNumberFormat="1" applyFont="1" applyFill="1" applyAlignment="1">
      <alignment/>
    </xf>
    <xf numFmtId="10" fontId="1" fillId="0" borderId="0" xfId="17" applyNumberFormat="1" applyFont="1" applyFill="1" applyAlignment="1">
      <alignment/>
    </xf>
    <xf numFmtId="3" fontId="1" fillId="0" borderId="0" xfId="17" applyNumberFormat="1" applyFont="1" applyFill="1" applyAlignment="1">
      <alignment/>
    </xf>
    <xf numFmtId="4" fontId="1" fillId="2" borderId="0" xfId="17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" fontId="1" fillId="2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152400</xdr:rowOff>
    </xdr:from>
    <xdr:to>
      <xdr:col>7</xdr:col>
      <xdr:colOff>238125</xdr:colOff>
      <xdr:row>22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257425"/>
          <a:ext cx="4810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5</xdr:row>
      <xdr:rowOff>114300</xdr:rowOff>
    </xdr:from>
    <xdr:to>
      <xdr:col>9</xdr:col>
      <xdr:colOff>742950</xdr:colOff>
      <xdr:row>16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23925"/>
          <a:ext cx="48387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5</xdr:row>
      <xdr:rowOff>66675</xdr:rowOff>
    </xdr:from>
    <xdr:to>
      <xdr:col>13</xdr:col>
      <xdr:colOff>19050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76300"/>
          <a:ext cx="4810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14</xdr:row>
      <xdr:rowOff>114300</xdr:rowOff>
    </xdr:from>
    <xdr:to>
      <xdr:col>13</xdr:col>
      <xdr:colOff>9525</xdr:colOff>
      <xdr:row>15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620250" y="2381250"/>
          <a:ext cx="295275" cy="1619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6</xdr:row>
      <xdr:rowOff>47625</xdr:rowOff>
    </xdr:from>
    <xdr:to>
      <xdr:col>8</xdr:col>
      <xdr:colOff>295275</xdr:colOff>
      <xdr:row>15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019175"/>
          <a:ext cx="4886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3</xdr:row>
      <xdr:rowOff>104775</xdr:rowOff>
    </xdr:from>
    <xdr:to>
      <xdr:col>13</xdr:col>
      <xdr:colOff>314325</xdr:colOff>
      <xdr:row>14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90550"/>
          <a:ext cx="4848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19</xdr:row>
      <xdr:rowOff>123825</xdr:rowOff>
    </xdr:from>
    <xdr:to>
      <xdr:col>11</xdr:col>
      <xdr:colOff>85725</xdr:colOff>
      <xdr:row>30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200400"/>
          <a:ext cx="30956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5</xdr:row>
      <xdr:rowOff>104775</xdr:rowOff>
    </xdr:from>
    <xdr:to>
      <xdr:col>7</xdr:col>
      <xdr:colOff>381000</xdr:colOff>
      <xdr:row>30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14400"/>
          <a:ext cx="50292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6</xdr:row>
      <xdr:rowOff>114300</xdr:rowOff>
    </xdr:from>
    <xdr:to>
      <xdr:col>10</xdr:col>
      <xdr:colOff>95250</xdr:colOff>
      <xdr:row>15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085850"/>
          <a:ext cx="2238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9</xdr:row>
      <xdr:rowOff>9525</xdr:rowOff>
    </xdr:from>
    <xdr:to>
      <xdr:col>9</xdr:col>
      <xdr:colOff>752475</xdr:colOff>
      <xdr:row>10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315200" y="1466850"/>
          <a:ext cx="295275" cy="16192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5</xdr:row>
      <xdr:rowOff>57150</xdr:rowOff>
    </xdr:from>
    <xdr:to>
      <xdr:col>8</xdr:col>
      <xdr:colOff>704850</xdr:colOff>
      <xdr:row>23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66775"/>
          <a:ext cx="47815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85725</xdr:rowOff>
    </xdr:from>
    <xdr:to>
      <xdr:col>7</xdr:col>
      <xdr:colOff>752475</xdr:colOff>
      <xdr:row>19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895350"/>
          <a:ext cx="48482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6</xdr:row>
      <xdr:rowOff>76200</xdr:rowOff>
    </xdr:from>
    <xdr:to>
      <xdr:col>8</xdr:col>
      <xdr:colOff>152400</xdr:colOff>
      <xdr:row>15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047750"/>
          <a:ext cx="4962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11</xdr:row>
      <xdr:rowOff>123825</xdr:rowOff>
    </xdr:from>
    <xdr:to>
      <xdr:col>7</xdr:col>
      <xdr:colOff>219075</xdr:colOff>
      <xdr:row>12</xdr:row>
      <xdr:rowOff>123825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000625" y="1905000"/>
          <a:ext cx="552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7,5%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6</xdr:row>
      <xdr:rowOff>123825</xdr:rowOff>
    </xdr:from>
    <xdr:to>
      <xdr:col>8</xdr:col>
      <xdr:colOff>428625</xdr:colOff>
      <xdr:row>24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095375"/>
          <a:ext cx="48387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2</xdr:row>
      <xdr:rowOff>47625</xdr:rowOff>
    </xdr:from>
    <xdr:to>
      <xdr:col>12</xdr:col>
      <xdr:colOff>676275</xdr:colOff>
      <xdr:row>11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71475"/>
          <a:ext cx="4829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14</xdr:row>
      <xdr:rowOff>19050</xdr:rowOff>
    </xdr:from>
    <xdr:to>
      <xdr:col>12</xdr:col>
      <xdr:colOff>714375</xdr:colOff>
      <xdr:row>24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286000"/>
          <a:ext cx="4819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5</xdr:row>
      <xdr:rowOff>104775</xdr:rowOff>
    </xdr:from>
    <xdr:to>
      <xdr:col>8</xdr:col>
      <xdr:colOff>285750</xdr:colOff>
      <xdr:row>16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4400"/>
          <a:ext cx="49244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248525" y="0"/>
          <a:ext cx="99060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1000 nicht 100
</a:t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400050</xdr:colOff>
      <xdr:row>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496175" y="0"/>
          <a:ext cx="99060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(202,5)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</xdr:row>
      <xdr:rowOff>0</xdr:rowOff>
    </xdr:from>
    <xdr:to>
      <xdr:col>10</xdr:col>
      <xdr:colOff>247650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219825" y="485775"/>
          <a:ext cx="164782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 muss weg
</a:t>
          </a:r>
        </a:p>
      </xdr:txBody>
    </xdr:sp>
    <xdr:clientData/>
  </xdr:twoCellAnchor>
  <xdr:twoCellAnchor>
    <xdr:from>
      <xdr:col>6</xdr:col>
      <xdr:colOff>685800</xdr:colOff>
      <xdr:row>3</xdr:row>
      <xdr:rowOff>0</xdr:rowOff>
    </xdr:from>
    <xdr:to>
      <xdr:col>8</xdr:col>
      <xdr:colOff>295275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5257800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0</xdr:rowOff>
    </xdr:from>
    <xdr:to>
      <xdr:col>10</xdr:col>
      <xdr:colOff>742950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324600" y="0"/>
          <a:ext cx="20383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wie kommt man auf die Kreditprov.?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2</xdr:row>
      <xdr:rowOff>57150</xdr:rowOff>
    </xdr:from>
    <xdr:to>
      <xdr:col>12</xdr:col>
      <xdr:colOff>695325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0"/>
          <a:ext cx="4514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13</xdr:row>
      <xdr:rowOff>47625</xdr:rowOff>
    </xdr:from>
    <xdr:to>
      <xdr:col>13</xdr:col>
      <xdr:colOff>209550</xdr:colOff>
      <xdr:row>24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152650"/>
          <a:ext cx="4810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2</xdr:row>
      <xdr:rowOff>76200</xdr:rowOff>
    </xdr:from>
    <xdr:to>
      <xdr:col>12</xdr:col>
      <xdr:colOff>590550</xdr:colOff>
      <xdr:row>11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00050"/>
          <a:ext cx="4857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13</xdr:row>
      <xdr:rowOff>38100</xdr:rowOff>
    </xdr:from>
    <xdr:to>
      <xdr:col>12</xdr:col>
      <xdr:colOff>628650</xdr:colOff>
      <xdr:row>24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143125"/>
          <a:ext cx="4819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2</xdr:row>
      <xdr:rowOff>38100</xdr:rowOff>
    </xdr:from>
    <xdr:to>
      <xdr:col>11</xdr:col>
      <xdr:colOff>38100</xdr:colOff>
      <xdr:row>11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61950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76200</xdr:rowOff>
    </xdr:from>
    <xdr:to>
      <xdr:col>12</xdr:col>
      <xdr:colOff>590550</xdr:colOff>
      <xdr:row>24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2181225"/>
          <a:ext cx="4857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6</xdr:row>
      <xdr:rowOff>66675</xdr:rowOff>
    </xdr:from>
    <xdr:to>
      <xdr:col>12</xdr:col>
      <xdr:colOff>609600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38225"/>
          <a:ext cx="4867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6</xdr:row>
      <xdr:rowOff>133350</xdr:rowOff>
    </xdr:from>
    <xdr:to>
      <xdr:col>13</xdr:col>
      <xdr:colOff>571500</xdr:colOff>
      <xdr:row>16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04900"/>
          <a:ext cx="4857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4</xdr:row>
      <xdr:rowOff>85725</xdr:rowOff>
    </xdr:from>
    <xdr:to>
      <xdr:col>9</xdr:col>
      <xdr:colOff>685800</xdr:colOff>
      <xdr:row>14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33425"/>
          <a:ext cx="43719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6</xdr:row>
      <xdr:rowOff>142875</xdr:rowOff>
    </xdr:from>
    <xdr:to>
      <xdr:col>8</xdr:col>
      <xdr:colOff>171450</xdr:colOff>
      <xdr:row>15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14425"/>
          <a:ext cx="4876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J31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9" spans="1:10" ht="12.75">
      <c r="A9" s="2" t="s">
        <v>15</v>
      </c>
      <c r="B9" s="2"/>
      <c r="C9" s="2"/>
      <c r="D9" s="2"/>
      <c r="E9" s="2"/>
      <c r="F9" s="2"/>
      <c r="G9" s="2"/>
      <c r="H9" s="2"/>
      <c r="I9" s="2"/>
      <c r="J9" s="2"/>
    </row>
    <row r="10" ht="12.75">
      <c r="A10" t="s">
        <v>0</v>
      </c>
    </row>
    <row r="11" ht="12.75">
      <c r="A11" t="s">
        <v>1</v>
      </c>
    </row>
    <row r="12" ht="12.75">
      <c r="A12" t="s">
        <v>2</v>
      </c>
    </row>
    <row r="13" ht="12.75">
      <c r="A13" t="s">
        <v>3</v>
      </c>
    </row>
    <row r="23" ht="12.75">
      <c r="A23" s="1"/>
    </row>
    <row r="24" ht="12.75">
      <c r="A24" s="1"/>
    </row>
    <row r="29" spans="1:8" ht="12.75">
      <c r="A29" s="2" t="s">
        <v>16</v>
      </c>
      <c r="B29" s="2"/>
      <c r="C29" s="2"/>
      <c r="D29" s="2"/>
      <c r="E29" s="2"/>
      <c r="F29" s="2"/>
      <c r="G29" s="2"/>
      <c r="H29" s="2"/>
    </row>
    <row r="30" ht="12.75">
      <c r="A30" t="s">
        <v>4</v>
      </c>
    </row>
    <row r="31" ht="12.75">
      <c r="A31" t="s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0"/>
  <dimension ref="B4:F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29.57421875" style="8" customWidth="1"/>
    <col min="3" max="16384" width="11.421875" style="8" customWidth="1"/>
  </cols>
  <sheetData>
    <row r="4" spans="2:4" ht="12.75">
      <c r="B4" s="23" t="s">
        <v>201</v>
      </c>
      <c r="C4" s="25">
        <v>100000</v>
      </c>
      <c r="D4" s="23" t="s">
        <v>106</v>
      </c>
    </row>
    <row r="5" spans="2:4" ht="12.75">
      <c r="B5" s="23" t="s">
        <v>200</v>
      </c>
      <c r="C5" s="25">
        <v>3500</v>
      </c>
      <c r="D5" s="23" t="s">
        <v>106</v>
      </c>
    </row>
    <row r="6" spans="2:5" ht="12.75">
      <c r="B6" s="23" t="s">
        <v>211</v>
      </c>
      <c r="C6" s="24">
        <v>0.07</v>
      </c>
      <c r="E6"/>
    </row>
    <row r="7" ht="12.75">
      <c r="E7"/>
    </row>
    <row r="8" ht="12.75">
      <c r="E8"/>
    </row>
    <row r="9" ht="12.75">
      <c r="E9"/>
    </row>
    <row r="10" spans="2:6" ht="12.75">
      <c r="B10" s="26" t="s">
        <v>202</v>
      </c>
      <c r="C10" s="26" t="s">
        <v>93</v>
      </c>
      <c r="D10" s="26" t="s">
        <v>92</v>
      </c>
      <c r="E10" s="26" t="s">
        <v>91</v>
      </c>
      <c r="F10" s="26" t="s">
        <v>90</v>
      </c>
    </row>
    <row r="11" spans="2:6" ht="12.75">
      <c r="B11" s="26" t="s">
        <v>203</v>
      </c>
      <c r="C11" s="44">
        <f>'42'!$C$4</f>
        <v>100000</v>
      </c>
      <c r="D11" s="44">
        <f>'42'!$C$4</f>
        <v>100000</v>
      </c>
      <c r="E11" s="44">
        <f>'42'!$C$4</f>
        <v>100000</v>
      </c>
      <c r="F11" s="44">
        <f>'42'!$C$4</f>
        <v>100000</v>
      </c>
    </row>
    <row r="12" spans="2:6" ht="12.75">
      <c r="B12" s="26" t="s">
        <v>204</v>
      </c>
      <c r="C12" s="122">
        <v>0</v>
      </c>
      <c r="D12" s="44">
        <f>C12+25000</f>
        <v>25000</v>
      </c>
      <c r="E12" s="44">
        <f>D12+25000</f>
        <v>50000</v>
      </c>
      <c r="F12" s="44">
        <f>E12+25000</f>
        <v>75000</v>
      </c>
    </row>
    <row r="13" spans="2:6" ht="12.75">
      <c r="B13" s="26" t="s">
        <v>205</v>
      </c>
      <c r="C13" s="44">
        <f>C11-C12</f>
        <v>100000</v>
      </c>
      <c r="D13" s="44">
        <f>D11-D12</f>
        <v>75000</v>
      </c>
      <c r="E13" s="44">
        <f>E11-E12</f>
        <v>50000</v>
      </c>
      <c r="F13" s="44">
        <f>F11-F12</f>
        <v>25000</v>
      </c>
    </row>
    <row r="14" spans="2:6" ht="12.75">
      <c r="B14" s="26" t="s">
        <v>206</v>
      </c>
      <c r="C14" s="123">
        <f>C12/C13</f>
        <v>0</v>
      </c>
      <c r="D14" s="123">
        <f>D12/D13</f>
        <v>0.3333333333333333</v>
      </c>
      <c r="E14" s="123">
        <f>E12/E13</f>
        <v>1</v>
      </c>
      <c r="F14" s="123">
        <f>F12/F13</f>
        <v>3</v>
      </c>
    </row>
    <row r="15" spans="2:6" ht="12.75">
      <c r="B15" s="26" t="s">
        <v>207</v>
      </c>
      <c r="C15" s="44">
        <f>'42'!$C$5</f>
        <v>3500</v>
      </c>
      <c r="D15" s="44">
        <f>'42'!$C$5</f>
        <v>3500</v>
      </c>
      <c r="E15" s="44">
        <f>'42'!$C$5</f>
        <v>3500</v>
      </c>
      <c r="F15" s="44">
        <f>'42'!$C$5</f>
        <v>3500</v>
      </c>
    </row>
    <row r="16" spans="2:6" ht="12.75">
      <c r="B16" s="124" t="s">
        <v>208</v>
      </c>
      <c r="C16" s="44">
        <f>C12*'42'!$C$6</f>
        <v>0</v>
      </c>
      <c r="D16" s="44">
        <f>D12*'42'!$C$6</f>
        <v>1750.0000000000002</v>
      </c>
      <c r="E16" s="44">
        <f>E12*'42'!$C$6</f>
        <v>3500.0000000000005</v>
      </c>
      <c r="F16" s="44">
        <f>F12*'42'!$C$6</f>
        <v>5250.000000000001</v>
      </c>
    </row>
    <row r="17" spans="2:6" ht="12.75">
      <c r="B17" s="26" t="s">
        <v>209</v>
      </c>
      <c r="C17" s="44">
        <f>C15-C16</f>
        <v>3500</v>
      </c>
      <c r="D17" s="44">
        <f>D15-D16</f>
        <v>1749.9999999999998</v>
      </c>
      <c r="E17" s="44">
        <f>E15-E16</f>
        <v>0</v>
      </c>
      <c r="F17" s="44">
        <f>F15-F16</f>
        <v>-1750.000000000001</v>
      </c>
    </row>
    <row r="18" spans="2:6" ht="12.75">
      <c r="B18" s="26" t="s">
        <v>210</v>
      </c>
      <c r="C18" s="125">
        <f>IF(C12=0,(C15/C11)+((C15/C11)-(0))*(C12/C13),(C15/C11)+((C15/C11)-(C16/C12))*(C12/C13))</f>
        <v>0.035</v>
      </c>
      <c r="D18" s="125">
        <f>IF(D12=0,(D15/D11)+((D15/D11)-(0))*(D12/D13),(D15/D11)+((D15/D11)-(D16/D12))*(D12/D13))</f>
        <v>0.023333333333333338</v>
      </c>
      <c r="E18" s="125">
        <f>IF(E12=0,(E15/E11)+((E15/E11)-(0))*(E12/E13),(E15/E11)+((E15/E11)-(E16/E12))*(E12/E13))</f>
        <v>0</v>
      </c>
      <c r="F18" s="125">
        <f>IF(F12=0,(F15/F11)+((F15/F11)-(0))*(F12/F13),(F15/F11)+((F15/F11)-(F16/F12))*(F12/F13))</f>
        <v>-0.07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2"/>
  <dimension ref="B4:G11"/>
  <sheetViews>
    <sheetView showGridLines="0" workbookViewId="0" topLeftCell="A2">
      <selection activeCell="A1" sqref="A1"/>
    </sheetView>
  </sheetViews>
  <sheetFormatPr defaultColWidth="11.421875" defaultRowHeight="12.75"/>
  <cols>
    <col min="2" max="2" width="23.140625" style="0" customWidth="1"/>
  </cols>
  <sheetData>
    <row r="4" spans="2:4" ht="12.75">
      <c r="B4" s="3" t="s">
        <v>204</v>
      </c>
      <c r="C4" s="27">
        <v>75000</v>
      </c>
      <c r="D4" s="3" t="s">
        <v>106</v>
      </c>
    </row>
    <row r="5" spans="2:4" ht="12.75">
      <c r="B5" s="3" t="s">
        <v>205</v>
      </c>
      <c r="C5" s="27">
        <v>25000</v>
      </c>
      <c r="D5" s="3" t="s">
        <v>106</v>
      </c>
    </row>
    <row r="6" spans="2:3" ht="12.75">
      <c r="B6" s="3" t="s">
        <v>211</v>
      </c>
      <c r="C6" s="20">
        <v>0.07</v>
      </c>
    </row>
    <row r="7" spans="2:3" ht="12.75">
      <c r="B7" s="3"/>
      <c r="C7" s="3"/>
    </row>
    <row r="10" spans="2:7" ht="12.75">
      <c r="B10" s="2" t="s">
        <v>100</v>
      </c>
      <c r="C10" s="30">
        <v>0.1</v>
      </c>
      <c r="D10" s="30">
        <v>0.07</v>
      </c>
      <c r="E10" s="31">
        <v>0.035</v>
      </c>
      <c r="F10" s="30">
        <v>0</v>
      </c>
      <c r="G10" s="30">
        <v>-0.1</v>
      </c>
    </row>
    <row r="11" spans="2:7" ht="12.75">
      <c r="B11" s="2" t="s">
        <v>210</v>
      </c>
      <c r="C11" s="30">
        <f>C10+(C10-'43-1'!$C$6)*('43-1'!$C$4/'43-1'!$C$5)</f>
        <v>0.19</v>
      </c>
      <c r="D11" s="30">
        <f>D10+(D10-'43-1'!$C$6)*('43-1'!$C$4/'43-1'!$C$5)</f>
        <v>0.07</v>
      </c>
      <c r="E11" s="30">
        <f>E10+(E10-'43-1'!$C$6)*('43-1'!$C$4/'43-1'!$C$5)</f>
        <v>-0.07</v>
      </c>
      <c r="F11" s="30">
        <f>F10+(F10-'43-1'!$C$6)*('43-1'!$C$4/'43-1'!$C$5)</f>
        <v>-0.21000000000000002</v>
      </c>
      <c r="G11" s="30">
        <f>G10+(G10-'43-1'!$C$6)*('43-1'!$C$4/'43-1'!$C$5)</f>
        <v>-0.61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3"/>
  <dimension ref="B4:G25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8.421875" style="0" customWidth="1"/>
  </cols>
  <sheetData>
    <row r="4" spans="2:3" ht="12.75">
      <c r="B4" s="3" t="s">
        <v>93</v>
      </c>
      <c r="C4" s="3"/>
    </row>
    <row r="5" spans="2:3" ht="12.75">
      <c r="B5" s="3" t="s">
        <v>206</v>
      </c>
      <c r="C5" s="29">
        <v>0</v>
      </c>
    </row>
    <row r="6" spans="2:3" ht="12.75">
      <c r="B6" s="3" t="s">
        <v>211</v>
      </c>
      <c r="C6" s="20">
        <v>0.07</v>
      </c>
    </row>
    <row r="7" spans="2:3" ht="12.75">
      <c r="B7" s="3"/>
      <c r="C7" s="3"/>
    </row>
    <row r="8" spans="2:3" ht="12.75">
      <c r="B8" s="3" t="s">
        <v>92</v>
      </c>
      <c r="C8" s="3"/>
    </row>
    <row r="9" spans="2:3" ht="12.75">
      <c r="B9" s="3" t="s">
        <v>206</v>
      </c>
      <c r="C9" s="29">
        <v>0.33</v>
      </c>
    </row>
    <row r="10" spans="2:3" ht="12.75">
      <c r="B10" s="3" t="s">
        <v>211</v>
      </c>
      <c r="C10" s="20">
        <v>0.07</v>
      </c>
    </row>
    <row r="11" spans="2:3" ht="12.75">
      <c r="B11" s="3"/>
      <c r="C11" s="3"/>
    </row>
    <row r="12" spans="2:3" ht="12.75">
      <c r="B12" s="3" t="s">
        <v>91</v>
      </c>
      <c r="C12" s="3"/>
    </row>
    <row r="13" spans="2:3" ht="12.75">
      <c r="B13" s="3" t="s">
        <v>206</v>
      </c>
      <c r="C13" s="29">
        <v>1</v>
      </c>
    </row>
    <row r="14" spans="2:3" ht="12.75">
      <c r="B14" s="3" t="s">
        <v>211</v>
      </c>
      <c r="C14" s="20">
        <v>0.07</v>
      </c>
    </row>
    <row r="15" spans="2:3" ht="12.75">
      <c r="B15" s="3"/>
      <c r="C15" s="3"/>
    </row>
    <row r="16" spans="2:3" ht="12.75">
      <c r="B16" s="3" t="s">
        <v>90</v>
      </c>
      <c r="C16" s="3"/>
    </row>
    <row r="17" spans="2:3" ht="12.75">
      <c r="B17" s="3" t="s">
        <v>206</v>
      </c>
      <c r="C17" s="29">
        <v>3</v>
      </c>
    </row>
    <row r="18" spans="2:3" ht="12.75">
      <c r="B18" s="3" t="s">
        <v>211</v>
      </c>
      <c r="C18" s="20">
        <v>0.07</v>
      </c>
    </row>
    <row r="21" spans="2:7" ht="12.75">
      <c r="B21" s="2" t="s">
        <v>100</v>
      </c>
      <c r="C21" s="30">
        <v>0.1</v>
      </c>
      <c r="D21" s="30">
        <v>0.07</v>
      </c>
      <c r="E21" s="31">
        <v>0.035</v>
      </c>
      <c r="F21" s="30">
        <v>0</v>
      </c>
      <c r="G21" s="30">
        <v>-0.1</v>
      </c>
    </row>
    <row r="22" spans="2:7" ht="12.75">
      <c r="B22" s="2" t="s">
        <v>212</v>
      </c>
      <c r="C22" s="30">
        <f>C21+(C21-'43-2'!$C$6)*'43-2'!$C$5</f>
        <v>0.1</v>
      </c>
      <c r="D22" s="30">
        <f>D21+(D21-'43-2'!$C$6)*'43-2'!$C$5</f>
        <v>0.07</v>
      </c>
      <c r="E22" s="30">
        <f>E21+(E21-'43-2'!$C$6)*'43-2'!$C$5</f>
        <v>0.035</v>
      </c>
      <c r="F22" s="30">
        <f>F21+(F21-'43-2'!$C$6)*'43-2'!$C$5</f>
        <v>0</v>
      </c>
      <c r="G22" s="30">
        <f>G21+(G21-'43-2'!$C$6)*'43-2'!$C$5</f>
        <v>-0.1</v>
      </c>
    </row>
    <row r="23" spans="2:7" ht="12.75">
      <c r="B23" s="2" t="s">
        <v>213</v>
      </c>
      <c r="C23" s="30">
        <f>C21+(C21-'43-2'!$C$10)*'43-2'!$C$9</f>
        <v>0.10990000000000001</v>
      </c>
      <c r="D23" s="30">
        <f>D21+(D21-'43-2'!$C$10)*'43-2'!$C$9</f>
        <v>0.07</v>
      </c>
      <c r="E23" s="30">
        <f>E21+(E21-'43-2'!$C$10)*'43-2'!$C$9</f>
        <v>0.023450000000000002</v>
      </c>
      <c r="F23" s="30">
        <f>F21+(F21-'43-2'!$C$10)*'43-2'!$C$9</f>
        <v>-0.023100000000000002</v>
      </c>
      <c r="G23" s="30">
        <f>G21+(G21-'43-2'!$C$10)*'43-2'!$C$9</f>
        <v>-0.15610000000000002</v>
      </c>
    </row>
    <row r="24" spans="2:7" ht="12.75">
      <c r="B24" s="2" t="s">
        <v>214</v>
      </c>
      <c r="C24" s="30">
        <f>C21+(C21-'43-2'!$C$14)*'43-2'!$C$13</f>
        <v>0.13</v>
      </c>
      <c r="D24" s="30">
        <f>D21+(D21-'43-2'!$C$14)*'43-2'!$C$13</f>
        <v>0.07</v>
      </c>
      <c r="E24" s="30">
        <f>E21+(E21-'43-2'!$C$14)*'43-2'!$C$13</f>
        <v>0</v>
      </c>
      <c r="F24" s="30">
        <f>F21+(F21-'43-2'!$C$14)*'43-2'!$C$13</f>
        <v>-0.07</v>
      </c>
      <c r="G24" s="30">
        <f>G21+(G21-'43-2'!$C$14)*'43-2'!$C$13</f>
        <v>-0.27</v>
      </c>
    </row>
    <row r="25" spans="2:7" ht="12.75">
      <c r="B25" s="2" t="s">
        <v>215</v>
      </c>
      <c r="C25" s="30">
        <f>C21+(C21-'43-2'!$C$18)*'43-2'!$C$17</f>
        <v>0.19</v>
      </c>
      <c r="D25" s="30">
        <f>D21+(D21-'43-2'!$C$18)*'43-2'!$C$17</f>
        <v>0.07</v>
      </c>
      <c r="E25" s="30">
        <f>E21+(E21-'43-2'!$C$18)*'43-2'!$C$17</f>
        <v>-0.07</v>
      </c>
      <c r="F25" s="30">
        <f>F21+(F21-'43-2'!$C$18)*'43-2'!$C$17</f>
        <v>-0.21000000000000002</v>
      </c>
      <c r="G25" s="30">
        <f>G21+(G21-'43-2'!$C$18)*'43-2'!$C$17</f>
        <v>-0.61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2:J13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ht="12.75">
      <c r="A6" t="s">
        <v>78</v>
      </c>
    </row>
    <row r="7" ht="12.75">
      <c r="A7" t="s">
        <v>94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1" ht="12.75">
      <c r="A11" t="s">
        <v>98</v>
      </c>
    </row>
    <row r="12" ht="12.75">
      <c r="A12" t="s">
        <v>99</v>
      </c>
    </row>
    <row r="13" ht="12.75">
      <c r="A13" t="s">
        <v>78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2:J4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4" spans="1:10" ht="12.7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04"/>
  <dimension ref="B2:G1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9.140625" style="0" customWidth="1"/>
    <col min="3" max="3" width="9.7109375" style="0" customWidth="1"/>
    <col min="4" max="4" width="10.421875" style="0" customWidth="1"/>
    <col min="5" max="5" width="7.8515625" style="0" customWidth="1"/>
    <col min="6" max="6" width="7.00390625" style="0" customWidth="1"/>
  </cols>
  <sheetData>
    <row r="2" spans="4:5" ht="12.75">
      <c r="D2" s="5"/>
      <c r="E2" s="5"/>
    </row>
    <row r="4" spans="2:6" ht="12.75">
      <c r="B4" s="3" t="s">
        <v>222</v>
      </c>
      <c r="C4" s="29">
        <v>10</v>
      </c>
      <c r="D4" s="3" t="s">
        <v>106</v>
      </c>
      <c r="E4" s="5"/>
      <c r="F4" s="5"/>
    </row>
    <row r="5" spans="2:4" ht="12.75">
      <c r="B5" s="3" t="s">
        <v>223</v>
      </c>
      <c r="C5" s="29">
        <v>5</v>
      </c>
      <c r="D5" s="3" t="s">
        <v>106</v>
      </c>
    </row>
    <row r="6" spans="2:7" ht="12.75">
      <c r="B6" s="3" t="s">
        <v>224</v>
      </c>
      <c r="C6" s="29">
        <v>1</v>
      </c>
      <c r="D6" s="3" t="s">
        <v>227</v>
      </c>
      <c r="E6" s="29" t="s">
        <v>228</v>
      </c>
      <c r="F6" s="29">
        <v>5</v>
      </c>
      <c r="G6" s="29" t="s">
        <v>106</v>
      </c>
    </row>
    <row r="7" spans="2:6" ht="12.75">
      <c r="B7" s="3"/>
      <c r="C7" s="29"/>
      <c r="E7" s="32"/>
      <c r="F7" s="32"/>
    </row>
    <row r="8" spans="2:3" ht="12.75">
      <c r="B8" s="3" t="s">
        <v>216</v>
      </c>
      <c r="C8" s="20">
        <v>2.5</v>
      </c>
    </row>
    <row r="9" spans="2:3" ht="12.75">
      <c r="B9" s="3" t="s">
        <v>217</v>
      </c>
      <c r="C9" s="20">
        <v>0.2</v>
      </c>
    </row>
    <row r="13" spans="2:7" ht="12.75">
      <c r="B13" s="2"/>
      <c r="C13" s="149" t="s">
        <v>226</v>
      </c>
      <c r="D13" s="149"/>
      <c r="E13" s="2"/>
      <c r="F13" s="2" t="s">
        <v>224</v>
      </c>
      <c r="G13" s="2"/>
    </row>
    <row r="14" spans="2:7" ht="12.75">
      <c r="B14" s="2"/>
      <c r="C14" s="19" t="s">
        <v>218</v>
      </c>
      <c r="D14" s="19" t="s">
        <v>219</v>
      </c>
      <c r="E14" s="2"/>
      <c r="F14" s="2"/>
      <c r="G14" s="2"/>
    </row>
    <row r="15" spans="2:7" ht="12.75">
      <c r="B15" s="2" t="s">
        <v>225</v>
      </c>
      <c r="C15" s="19">
        <f>'59'!$C$4</f>
        <v>10</v>
      </c>
      <c r="D15" s="19">
        <f>'59'!$C$5</f>
        <v>5</v>
      </c>
      <c r="E15" s="2" t="s">
        <v>106</v>
      </c>
      <c r="F15" s="19">
        <f>'59'!$C$6</f>
        <v>1</v>
      </c>
      <c r="G15" s="2" t="s">
        <v>227</v>
      </c>
    </row>
    <row r="16" spans="2:7" ht="12.75">
      <c r="B16" s="2" t="s">
        <v>220</v>
      </c>
      <c r="C16" s="19">
        <f>C15*'59'!$C$8</f>
        <v>25</v>
      </c>
      <c r="D16" s="19">
        <f>D15*'59'!$C$8</f>
        <v>12.5</v>
      </c>
      <c r="E16" s="2" t="s">
        <v>106</v>
      </c>
      <c r="F16" s="19">
        <f>'59'!$F$6*'59'!$C$8</f>
        <v>12.5</v>
      </c>
      <c r="G16" s="2" t="s">
        <v>106</v>
      </c>
    </row>
    <row r="17" spans="2:7" ht="12.75">
      <c r="B17" s="2" t="s">
        <v>221</v>
      </c>
      <c r="C17" s="19">
        <f>C15*'59'!$C$9</f>
        <v>2</v>
      </c>
      <c r="D17" s="19">
        <f>D15*'59'!$C$9</f>
        <v>1</v>
      </c>
      <c r="E17" s="2" t="s">
        <v>106</v>
      </c>
      <c r="F17" s="19">
        <f>'59'!$F$6*'59'!$C$9</f>
        <v>1</v>
      </c>
      <c r="G17" s="2" t="s">
        <v>106</v>
      </c>
    </row>
    <row r="18" spans="2:7" ht="12.75">
      <c r="B18" s="2"/>
      <c r="C18" s="2"/>
      <c r="D18" s="2"/>
      <c r="E18" s="2"/>
      <c r="F18" s="2"/>
      <c r="G18" s="2"/>
    </row>
    <row r="19" spans="2:7" ht="12.75">
      <c r="B19" s="2" t="s">
        <v>100</v>
      </c>
      <c r="C19" s="22">
        <f>C17/C16</f>
        <v>0.08</v>
      </c>
      <c r="D19" s="22">
        <f>D17/D16</f>
        <v>0.08</v>
      </c>
      <c r="E19" s="2"/>
      <c r="F19" s="22">
        <f>F17/F16</f>
        <v>0.08</v>
      </c>
      <c r="G19" s="2"/>
    </row>
  </sheetData>
  <mergeCells count="1">
    <mergeCell ref="C13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05"/>
  <dimension ref="B4:F2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34.57421875" style="0" bestFit="1" customWidth="1"/>
    <col min="3" max="3" width="16.28125" style="0" bestFit="1" customWidth="1"/>
    <col min="4" max="4" width="23.00390625" style="0" customWidth="1"/>
    <col min="5" max="5" width="15.140625" style="0" customWidth="1"/>
    <col min="6" max="6" width="14.57421875" style="0" customWidth="1"/>
  </cols>
  <sheetData>
    <row r="4" spans="2:3" ht="12.75">
      <c r="B4" s="3" t="s">
        <v>231</v>
      </c>
      <c r="C4" s="33">
        <v>800000</v>
      </c>
    </row>
    <row r="5" spans="2:3" ht="12.75">
      <c r="B5" s="3" t="s">
        <v>232</v>
      </c>
      <c r="C5" s="33">
        <v>1200000</v>
      </c>
    </row>
    <row r="6" spans="2:3" ht="12.75">
      <c r="B6" s="3" t="s">
        <v>229</v>
      </c>
      <c r="C6" s="3">
        <v>0.25</v>
      </c>
    </row>
    <row r="7" spans="2:3" ht="12.75">
      <c r="B7" s="3" t="s">
        <v>230</v>
      </c>
      <c r="C7" s="3">
        <v>0.25</v>
      </c>
    </row>
    <row r="11" spans="2:6" ht="25.5">
      <c r="B11" s="37" t="s">
        <v>528</v>
      </c>
      <c r="C11" s="36" t="s">
        <v>233</v>
      </c>
      <c r="D11" s="36"/>
      <c r="E11" s="36" t="s">
        <v>236</v>
      </c>
      <c r="F11" s="36"/>
    </row>
    <row r="12" spans="2:6" ht="12.75">
      <c r="B12" s="35"/>
      <c r="C12" s="38" t="s">
        <v>234</v>
      </c>
      <c r="D12" s="38" t="s">
        <v>235</v>
      </c>
      <c r="E12" s="38" t="s">
        <v>234</v>
      </c>
      <c r="F12" s="38" t="s">
        <v>235</v>
      </c>
    </row>
    <row r="13" spans="2:6" ht="12.75">
      <c r="B13" s="36"/>
      <c r="C13" s="36"/>
      <c r="D13" s="36"/>
      <c r="E13" s="36"/>
      <c r="F13" s="36"/>
    </row>
    <row r="14" spans="2:6" ht="12.75">
      <c r="B14" s="62">
        <v>80000</v>
      </c>
      <c r="C14" s="120">
        <f>E14*'61'!$C$4</f>
        <v>80000</v>
      </c>
      <c r="D14" s="120">
        <f>IF(F14&lt;=0,0,F14*'61'!$C$5)</f>
        <v>0</v>
      </c>
      <c r="E14" s="121">
        <f>IF((B14/'61'!$C$4)&lt;='61'!$C$6,'61'!B14/'61'!$C$4,IF('61'!F14&lt;'61'!$C$7,'61'!$C$6,'61'!$C$6+(((((B14/'61'!$C$4-'61'!$C$6)*'61'!$C$4)/'61'!$C$5)-'61'!$C$7)*'61'!$C$5)/('61'!$C$4+'61'!$C$5)))</f>
        <v>0.1</v>
      </c>
      <c r="F14" s="121">
        <f>IF((((B14/'61'!$C$4-'61'!$C$6)*'61'!$C$4)/'61'!$C$5)&lt;0,0,IF((((B14/'61'!$C$4-'61'!$C$6)*'61'!$C$4)/'61'!$C$5)&gt;'61'!$C$7,'61'!$C$7+(((((B14/'61'!$C$4-'61'!$C$6)*'61'!$C$4)/'61'!$C$5)-'61'!$C$7)*'61'!$C$5)/('61'!$C$4+'61'!$C$5),IF((((B14/'61'!$C$4-'61'!$C$6)*'61'!$C$4)/'61'!$C$5)&gt;'61'!$C$7,0,((B14/'61'!$C$4-'61'!$C$6)*'61'!$C$4)/'61'!$C$5)))</f>
        <v>0</v>
      </c>
    </row>
    <row r="15" spans="2:6" ht="12.75">
      <c r="B15" s="62">
        <v>160000</v>
      </c>
      <c r="C15" s="120">
        <f>E15*'61'!$C$4</f>
        <v>160000</v>
      </c>
      <c r="D15" s="120">
        <f>IF(F15&lt;=0,0,F15*'61'!$C$5)</f>
        <v>0</v>
      </c>
      <c r="E15" s="121">
        <f>IF((B15/'61'!$C$4)&lt;='61'!$C$6,'61'!B15/'61'!$C$4,IF('61'!F15&lt;'61'!$C$7,'61'!$C$6,'61'!$C$6+(((((B15/'61'!$C$4-'61'!$C$6)*'61'!$C$4)/'61'!$C$5)-'61'!$C$7)*'61'!$C$5)/('61'!$C$4+'61'!$C$5)))</f>
        <v>0.2</v>
      </c>
      <c r="F15" s="121">
        <f>IF((((B15/'61'!$C$4-'61'!$C$6)*'61'!$C$4)/'61'!$C$5)&lt;0,0,IF((((B15/'61'!$C$4-'61'!$C$6)*'61'!$C$4)/'61'!$C$5)&gt;'61'!$C$7,'61'!$C$7+(((((B15/'61'!$C$4-'61'!$C$6)*'61'!$C$4)/'61'!$C$5)-'61'!$C$7)*'61'!$C$5)/('61'!$C$4+'61'!$C$5),IF((((B15/'61'!$C$4-'61'!$C$6)*'61'!$C$4)/'61'!$C$5)&gt;'61'!$C$7,0,((B15/'61'!$C$4-'61'!$C$6)*'61'!$C$4)/'61'!$C$5)))</f>
        <v>0</v>
      </c>
    </row>
    <row r="16" spans="2:6" ht="12.75">
      <c r="B16" s="62">
        <v>200000</v>
      </c>
      <c r="C16" s="120">
        <f>E16*'61'!$C$4</f>
        <v>200000</v>
      </c>
      <c r="D16" s="120">
        <f>IF(F16&lt;=0,0,F16*'61'!$C$5)</f>
        <v>0</v>
      </c>
      <c r="E16" s="121">
        <f>IF((B16/'61'!$C$4)&lt;='61'!$C$6,'61'!B16/'61'!$C$4,IF('61'!F16&lt;'61'!$C$7,'61'!$C$6,'61'!$C$6+(((((B16/'61'!$C$4-'61'!$C$6)*'61'!$C$4)/'61'!$C$5)-'61'!$C$7)*'61'!$C$5)/('61'!$C$4+'61'!$C$5)))</f>
        <v>0.25</v>
      </c>
      <c r="F16" s="121">
        <f>IF((((B16/'61'!$C$4-'61'!$C$6)*'61'!$C$4)/'61'!$C$5)&lt;0,0,IF((((B16/'61'!$C$4-'61'!$C$6)*'61'!$C$4)/'61'!$C$5)&gt;'61'!$C$7,'61'!$C$7+(((((B16/'61'!$C$4-'61'!$C$6)*'61'!$C$4)/'61'!$C$5)-'61'!$C$7)*'61'!$C$5)/('61'!$C$4+'61'!$C$5),IF((((B16/'61'!$C$4-'61'!$C$6)*'61'!$C$4)/'61'!$C$5)&gt;'61'!$C$7,0,((B16/'61'!$C$4-'61'!$C$6)*'61'!$C$4)/'61'!$C$5)))</f>
        <v>0</v>
      </c>
    </row>
    <row r="17" spans="2:6" ht="12.75">
      <c r="B17" s="62">
        <v>300000</v>
      </c>
      <c r="C17" s="120">
        <f>E17*'61'!$C$4</f>
        <v>200000</v>
      </c>
      <c r="D17" s="120">
        <f>IF(F17&lt;=0,0,F17*'61'!$C$5)</f>
        <v>100000</v>
      </c>
      <c r="E17" s="121">
        <f>IF((B17/'61'!$C$4)&lt;='61'!$C$6,'61'!B17/'61'!$C$4,IF('61'!F17&lt;'61'!$C$7,'61'!$C$6,'61'!$C$6+(((((B17/'61'!$C$4-'61'!$C$6)*'61'!$C$4)/'61'!$C$5)-'61'!$C$7)*'61'!$C$5)/('61'!$C$4+'61'!$C$5)))</f>
        <v>0.25</v>
      </c>
      <c r="F17" s="121">
        <f>IF((((B17/'61'!$C$4-'61'!$C$6)*'61'!$C$4)/'61'!$C$5)&lt;0,0,IF((((B17/'61'!$C$4-'61'!$C$6)*'61'!$C$4)/'61'!$C$5)&gt;'61'!$C$7,'61'!$C$7+(((((B17/'61'!$C$4-'61'!$C$6)*'61'!$C$4)/'61'!$C$5)-'61'!$C$7)*'61'!$C$5)/('61'!$C$4+'61'!$C$5),IF((((B17/'61'!$C$4-'61'!$C$6)*'61'!$C$4)/'61'!$C$5)&gt;'61'!$C$7,0,((B17/'61'!$C$4-'61'!$C$6)*'61'!$C$4)/'61'!$C$5)))</f>
        <v>0.08333333333333333</v>
      </c>
    </row>
    <row r="18" spans="2:6" ht="12.75">
      <c r="B18" s="62">
        <v>400000</v>
      </c>
      <c r="C18" s="120">
        <f>E18*'61'!$C$4</f>
        <v>200000</v>
      </c>
      <c r="D18" s="120">
        <f>IF(F18&lt;=0,0,F18*'61'!$C$5)</f>
        <v>200000</v>
      </c>
      <c r="E18" s="121">
        <f>IF((B18/'61'!$C$4)&lt;='61'!$C$6,'61'!B18/'61'!$C$4,IF('61'!F18&lt;'61'!$C$7,'61'!$C$6,'61'!$C$6+(((((B18/'61'!$C$4-'61'!$C$6)*'61'!$C$4)/'61'!$C$5)-'61'!$C$7)*'61'!$C$5)/('61'!$C$4+'61'!$C$5)))</f>
        <v>0.25</v>
      </c>
      <c r="F18" s="121">
        <f>IF((((B18/'61'!$C$4-'61'!$C$6)*'61'!$C$4)/'61'!$C$5)&lt;0,0,IF((((B18/'61'!$C$4-'61'!$C$6)*'61'!$C$4)/'61'!$C$5)&gt;'61'!$C$7,'61'!$C$7+(((((B18/'61'!$C$4-'61'!$C$6)*'61'!$C$4)/'61'!$C$5)-'61'!$C$7)*'61'!$C$5)/('61'!$C$4+'61'!$C$5),IF((((B18/'61'!$C$4-'61'!$C$6)*'61'!$C$4)/'61'!$C$5)&gt;'61'!$C$7,0,((B18/'61'!$C$4-'61'!$C$6)*'61'!$C$4)/'61'!$C$5)))</f>
        <v>0.16666666666666666</v>
      </c>
    </row>
    <row r="19" spans="2:6" ht="12.75">
      <c r="B19" s="62">
        <v>500000</v>
      </c>
      <c r="C19" s="120">
        <f>E19*'61'!$C$4</f>
        <v>200000</v>
      </c>
      <c r="D19" s="120">
        <f>IF(F19&lt;=0,0,F19*'61'!$C$5)</f>
        <v>300000</v>
      </c>
      <c r="E19" s="121">
        <f>IF((B19/'61'!$C$4)&lt;='61'!$C$6,'61'!B19/'61'!$C$4,IF('61'!F19&lt;'61'!$C$7,'61'!$C$6,'61'!$C$6+(((((B19/'61'!$C$4-'61'!$C$6)*'61'!$C$4)/'61'!$C$5)-'61'!$C$7)*'61'!$C$5)/('61'!$C$4+'61'!$C$5)))</f>
        <v>0.25</v>
      </c>
      <c r="F19" s="121">
        <f>IF((((B19/'61'!$C$4-'61'!$C$6)*'61'!$C$4)/'61'!$C$5)&lt;0,0,IF((((B19/'61'!$C$4-'61'!$C$6)*'61'!$C$4)/'61'!$C$5)&gt;'61'!$C$7,'61'!$C$7+(((((B19/'61'!$C$4-'61'!$C$6)*'61'!$C$4)/'61'!$C$5)-'61'!$C$7)*'61'!$C$5)/('61'!$C$4+'61'!$C$5),IF((((B19/'61'!$C$4-'61'!$C$6)*'61'!$C$4)/'61'!$C$5)&gt;'61'!$C$7,0,((B19/'61'!$C$4-'61'!$C$6)*'61'!$C$4)/'61'!$C$5)))</f>
        <v>0.25</v>
      </c>
    </row>
    <row r="20" spans="2:6" ht="12.75">
      <c r="B20" s="62">
        <v>600000</v>
      </c>
      <c r="C20" s="120">
        <f>E20*'61'!$C$4</f>
        <v>240000</v>
      </c>
      <c r="D20" s="120">
        <f>IF(F20&lt;=0,0,F20*'61'!$C$5)</f>
        <v>360000</v>
      </c>
      <c r="E20" s="121">
        <f>IF((B20/'61'!$C$4)&lt;='61'!$C$6,'61'!B20/'61'!$C$4,IF('61'!F20&lt;'61'!$C$7,'61'!$C$6,'61'!$C$6+(((((B20/'61'!$C$4-'61'!$C$6)*'61'!$C$4)/'61'!$C$5)-'61'!$C$7)*'61'!$C$5)/('61'!$C$4+'61'!$C$5)))</f>
        <v>0.3</v>
      </c>
      <c r="F20" s="121">
        <f>IF((((B20/'61'!$C$4-'61'!$C$6)*'61'!$C$4)/'61'!$C$5)&lt;0,0,IF((((B20/'61'!$C$4-'61'!$C$6)*'61'!$C$4)/'61'!$C$5)&gt;'61'!$C$7,'61'!$C$7+(((((B20/'61'!$C$4-'61'!$C$6)*'61'!$C$4)/'61'!$C$5)-'61'!$C$7)*'61'!$C$5)/('61'!$C$4+'61'!$C$5),IF((((B20/'61'!$C$4-'61'!$C$6)*'61'!$C$4)/'61'!$C$5)&gt;'61'!$C$7,0,((B20/'61'!$C$4-'61'!$C$6)*'61'!$C$4)/'61'!$C$5)))</f>
        <v>0.3</v>
      </c>
    </row>
    <row r="21" spans="2:6" ht="12.75">
      <c r="B21" s="62">
        <v>700000</v>
      </c>
      <c r="C21" s="120">
        <f>E21*'61'!$C$4</f>
        <v>280000</v>
      </c>
      <c r="D21" s="120">
        <f>IF(F21&lt;=0,0,F21*'61'!$C$5)</f>
        <v>420000.00000000006</v>
      </c>
      <c r="E21" s="121">
        <f>IF((B21/'61'!$C$4)&lt;='61'!$C$6,'61'!B21/'61'!$C$4,IF('61'!F21&lt;'61'!$C$7,'61'!$C$6,'61'!$C$6+(((((B21/'61'!$C$4-'61'!$C$6)*'61'!$C$4)/'61'!$C$5)-'61'!$C$7)*'61'!$C$5)/('61'!$C$4+'61'!$C$5)))</f>
        <v>0.35000000000000003</v>
      </c>
      <c r="F21" s="121">
        <f>IF((((B21/'61'!$C$4-'61'!$C$6)*'61'!$C$4)/'61'!$C$5)&lt;0,0,IF((((B21/'61'!$C$4-'61'!$C$6)*'61'!$C$4)/'61'!$C$5)&gt;'61'!$C$7,'61'!$C$7+(((((B21/'61'!$C$4-'61'!$C$6)*'61'!$C$4)/'61'!$C$5)-'61'!$C$7)*'61'!$C$5)/('61'!$C$4+'61'!$C$5),IF((((B21/'61'!$C$4-'61'!$C$6)*'61'!$C$4)/'61'!$C$5)&gt;'61'!$C$7,0,((B21/'61'!$C$4-'61'!$C$6)*'61'!$C$4)/'61'!$C$5)))</f>
        <v>0.35000000000000003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06"/>
  <dimension ref="B4:F2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9.00390625" style="0" bestFit="1" customWidth="1"/>
  </cols>
  <sheetData>
    <row r="4" spans="2:4" ht="12.75">
      <c r="B4" s="3" t="s">
        <v>237</v>
      </c>
      <c r="C4" s="3">
        <v>0.25</v>
      </c>
      <c r="D4" s="3" t="s">
        <v>106</v>
      </c>
    </row>
    <row r="8" spans="2:6" ht="12.75">
      <c r="B8" s="2" t="s">
        <v>239</v>
      </c>
      <c r="C8" s="39">
        <v>1</v>
      </c>
      <c r="D8" s="39">
        <v>2</v>
      </c>
      <c r="E8" s="39">
        <v>3</v>
      </c>
      <c r="F8" s="39">
        <v>4</v>
      </c>
    </row>
    <row r="9" spans="2:6" ht="12.75">
      <c r="B9" s="2" t="s">
        <v>237</v>
      </c>
      <c r="C9" s="39">
        <f>'64'!$C$4</f>
        <v>0.25</v>
      </c>
      <c r="D9" s="39">
        <f>'64'!$C$4</f>
        <v>0.25</v>
      </c>
      <c r="E9" s="39">
        <f>'64'!$C$4</f>
        <v>0.25</v>
      </c>
      <c r="F9" s="39">
        <f>'64'!$C$4</f>
        <v>0.25</v>
      </c>
    </row>
    <row r="10" spans="2:6" ht="12.75">
      <c r="B10" s="2" t="s">
        <v>238</v>
      </c>
      <c r="C10" s="126">
        <v>0.2</v>
      </c>
      <c r="D10" s="39">
        <v>0.15</v>
      </c>
      <c r="E10" s="39">
        <v>0.25</v>
      </c>
      <c r="F10" s="39">
        <v>0.25</v>
      </c>
    </row>
    <row r="11" spans="2:6" ht="12.75">
      <c r="B11" s="2" t="s">
        <v>101</v>
      </c>
      <c r="C11" s="126">
        <v>0</v>
      </c>
      <c r="D11" s="126">
        <v>0</v>
      </c>
      <c r="E11" s="126">
        <f>C12</f>
        <v>0.04999999999999999</v>
      </c>
      <c r="F11" s="126">
        <f>D12</f>
        <v>0.1</v>
      </c>
    </row>
    <row r="12" spans="2:6" ht="12.75">
      <c r="B12" s="2" t="s">
        <v>240</v>
      </c>
      <c r="C12" s="126">
        <f>C9-C10</f>
        <v>0.04999999999999999</v>
      </c>
      <c r="D12" s="126">
        <f>D9-D10</f>
        <v>0.1</v>
      </c>
      <c r="E12" s="126">
        <f>E9-E10</f>
        <v>0</v>
      </c>
      <c r="F12" s="126">
        <f>F9-F10</f>
        <v>0</v>
      </c>
    </row>
    <row r="13" spans="2:6" ht="12.75">
      <c r="B13" s="2" t="s">
        <v>241</v>
      </c>
      <c r="C13" s="126">
        <f>C12-C11</f>
        <v>0.04999999999999999</v>
      </c>
      <c r="D13" s="126">
        <f>C13+D12-D11</f>
        <v>0.15</v>
      </c>
      <c r="E13" s="126">
        <f>D13+E12-E11</f>
        <v>0.1</v>
      </c>
      <c r="F13" s="126">
        <f>E13+F12-F11</f>
        <v>0</v>
      </c>
    </row>
    <row r="14" spans="2:6" ht="12.75">
      <c r="B14" s="2" t="s">
        <v>242</v>
      </c>
      <c r="C14" s="39" t="s">
        <v>18</v>
      </c>
      <c r="D14" s="39" t="s">
        <v>17</v>
      </c>
      <c r="E14" s="39" t="s">
        <v>17</v>
      </c>
      <c r="F14" s="39" t="s">
        <v>18</v>
      </c>
    </row>
    <row r="18" ht="12.75">
      <c r="C18" s="5"/>
    </row>
    <row r="19" spans="5:6" ht="12.75">
      <c r="E19" s="5"/>
      <c r="F19" s="5"/>
    </row>
    <row r="20" spans="3:6" ht="12.75">
      <c r="C20" s="5"/>
      <c r="D20" s="5"/>
      <c r="E20" s="7"/>
      <c r="F20" s="7"/>
    </row>
    <row r="21" spans="3:6" ht="12.75">
      <c r="C21" s="5"/>
      <c r="D21" s="5"/>
      <c r="E21" s="5"/>
      <c r="F21" s="7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07"/>
  <dimension ref="B4:H33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9.00390625" style="0" bestFit="1" customWidth="1"/>
  </cols>
  <sheetData>
    <row r="4" spans="2:3" ht="12.75">
      <c r="B4" s="3" t="s">
        <v>202</v>
      </c>
      <c r="C4" s="3"/>
    </row>
    <row r="5" spans="2:3" ht="12.75">
      <c r="B5" s="3" t="s">
        <v>205</v>
      </c>
      <c r="C5" s="3"/>
    </row>
    <row r="6" spans="2:3" ht="12.75">
      <c r="B6" s="40" t="s">
        <v>243</v>
      </c>
      <c r="C6" s="27">
        <v>200000</v>
      </c>
    </row>
    <row r="7" spans="2:3" ht="12.75">
      <c r="B7" s="40" t="s">
        <v>244</v>
      </c>
      <c r="C7" s="27">
        <v>10000</v>
      </c>
    </row>
    <row r="8" spans="2:3" ht="12.75">
      <c r="B8" s="3" t="s">
        <v>245</v>
      </c>
      <c r="C8" s="3"/>
    </row>
    <row r="9" spans="2:3" ht="12.75">
      <c r="B9" s="40" t="s">
        <v>246</v>
      </c>
      <c r="C9" s="27">
        <v>10000</v>
      </c>
    </row>
    <row r="10" spans="2:3" ht="12.75">
      <c r="B10" s="40" t="s">
        <v>247</v>
      </c>
      <c r="C10" s="27">
        <v>20000</v>
      </c>
    </row>
    <row r="11" spans="2:3" ht="12.75">
      <c r="B11" s="3" t="s">
        <v>248</v>
      </c>
      <c r="C11" s="41">
        <v>-20000</v>
      </c>
    </row>
    <row r="12" spans="2:8" ht="12.75">
      <c r="B12" s="3" t="s">
        <v>249</v>
      </c>
      <c r="C12" s="27">
        <v>280000</v>
      </c>
      <c r="H12" s="1"/>
    </row>
    <row r="13" spans="2:8" ht="12.75">
      <c r="B13" s="3"/>
      <c r="C13" s="3"/>
      <c r="H13" s="1"/>
    </row>
    <row r="14" spans="2:8" ht="12.75">
      <c r="B14" s="3" t="s">
        <v>250</v>
      </c>
      <c r="C14" s="27">
        <v>10</v>
      </c>
      <c r="H14" s="1"/>
    </row>
    <row r="15" ht="12.75">
      <c r="H15" s="1"/>
    </row>
    <row r="17" ht="12.75">
      <c r="H17" s="1"/>
    </row>
    <row r="18" spans="2:8" ht="12.75">
      <c r="B18" s="2" t="s">
        <v>202</v>
      </c>
      <c r="C18" s="2"/>
      <c r="H18" s="1"/>
    </row>
    <row r="19" spans="2:3" ht="12.75">
      <c r="B19" s="2" t="s">
        <v>205</v>
      </c>
      <c r="C19" s="2"/>
    </row>
    <row r="20" spans="2:3" ht="12.75">
      <c r="B20" s="68" t="s">
        <v>243</v>
      </c>
      <c r="C20" s="47">
        <f>'68'!C20</f>
        <v>200000</v>
      </c>
    </row>
    <row r="21" spans="2:3" ht="12.75">
      <c r="B21" s="68" t="s">
        <v>244</v>
      </c>
      <c r="C21" s="47">
        <f>'68'!C21</f>
        <v>10000</v>
      </c>
    </row>
    <row r="22" spans="2:3" ht="12.75">
      <c r="B22" s="2" t="s">
        <v>245</v>
      </c>
      <c r="C22" s="47"/>
    </row>
    <row r="23" spans="2:3" ht="12.75">
      <c r="B23" s="68" t="s">
        <v>246</v>
      </c>
      <c r="C23" s="47">
        <f>'68'!C23</f>
        <v>10000</v>
      </c>
    </row>
    <row r="24" spans="2:3" ht="12.75">
      <c r="B24" s="68" t="s">
        <v>247</v>
      </c>
      <c r="C24" s="47">
        <f>'68'!C24</f>
        <v>20000</v>
      </c>
    </row>
    <row r="25" spans="2:3" ht="12.75">
      <c r="B25" s="73" t="s">
        <v>248</v>
      </c>
      <c r="C25" s="74">
        <f>'68'!C25</f>
        <v>-20000</v>
      </c>
    </row>
    <row r="26" spans="2:3" ht="12.75">
      <c r="B26" s="71" t="s">
        <v>252</v>
      </c>
      <c r="C26" s="47">
        <f>SUM(C20:C25)</f>
        <v>220000</v>
      </c>
    </row>
    <row r="27" spans="2:3" ht="12.75">
      <c r="B27" s="2"/>
      <c r="C27" s="2"/>
    </row>
    <row r="28" spans="2:3" ht="12.75">
      <c r="B28" s="73" t="s">
        <v>249</v>
      </c>
      <c r="C28" s="74">
        <f>'68'!C26</f>
        <v>220000</v>
      </c>
    </row>
    <row r="29" spans="2:3" ht="12.75">
      <c r="B29" s="26" t="s">
        <v>251</v>
      </c>
      <c r="C29" s="47">
        <f>C26+C28</f>
        <v>440000</v>
      </c>
    </row>
    <row r="30" spans="2:3" ht="12.75">
      <c r="B30" s="2"/>
      <c r="C30" s="2"/>
    </row>
    <row r="31" spans="2:3" ht="12.75">
      <c r="B31" s="2"/>
      <c r="C31" s="2"/>
    </row>
    <row r="32" spans="2:3" ht="12.75">
      <c r="B32" s="2" t="s">
        <v>253</v>
      </c>
      <c r="C32" s="89">
        <f>(C26/C20)</f>
        <v>1.1</v>
      </c>
    </row>
    <row r="33" spans="2:3" ht="12.75">
      <c r="B33" s="2" t="s">
        <v>254</v>
      </c>
      <c r="C33" s="47">
        <f>C32*'68'!$C$14</f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2"/>
  <dimension ref="B4:H38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4.28125" style="0" customWidth="1"/>
  </cols>
  <sheetData>
    <row r="4" spans="2:3" ht="12.75">
      <c r="B4" s="3" t="s">
        <v>202</v>
      </c>
      <c r="C4" s="3"/>
    </row>
    <row r="5" spans="2:3" ht="12.75">
      <c r="B5" s="3" t="s">
        <v>205</v>
      </c>
      <c r="C5" s="3"/>
    </row>
    <row r="6" spans="2:3" ht="12.75">
      <c r="B6" s="40" t="s">
        <v>243</v>
      </c>
      <c r="C6" s="27">
        <v>200000</v>
      </c>
    </row>
    <row r="7" spans="2:3" ht="12.75">
      <c r="B7" s="40" t="s">
        <v>244</v>
      </c>
      <c r="C7" s="27">
        <v>10000</v>
      </c>
    </row>
    <row r="8" spans="2:3" ht="12.75">
      <c r="B8" s="3" t="s">
        <v>245</v>
      </c>
      <c r="C8" s="3"/>
    </row>
    <row r="9" spans="2:3" ht="12.75">
      <c r="B9" s="40" t="s">
        <v>246</v>
      </c>
      <c r="C9" s="27">
        <v>10000</v>
      </c>
    </row>
    <row r="10" spans="2:3" ht="12.75">
      <c r="B10" s="40" t="s">
        <v>247</v>
      </c>
      <c r="C10" s="27">
        <v>20000</v>
      </c>
    </row>
    <row r="11" spans="2:3" ht="12.75">
      <c r="B11" s="3" t="s">
        <v>248</v>
      </c>
      <c r="C11" s="41">
        <v>-20000</v>
      </c>
    </row>
    <row r="12" spans="2:3" ht="12.75">
      <c r="B12" s="3" t="s">
        <v>249</v>
      </c>
      <c r="C12" s="27">
        <v>280000</v>
      </c>
    </row>
    <row r="13" spans="2:3" ht="12.75">
      <c r="B13" s="3"/>
      <c r="C13" s="3"/>
    </row>
    <row r="14" spans="2:3" ht="12.75">
      <c r="B14" s="3" t="s">
        <v>250</v>
      </c>
      <c r="C14" s="27">
        <v>10</v>
      </c>
    </row>
    <row r="15" spans="2:3" ht="12.75">
      <c r="B15" s="3" t="s">
        <v>550</v>
      </c>
      <c r="C15" s="27">
        <v>100000</v>
      </c>
    </row>
    <row r="16" spans="2:3" ht="12.75">
      <c r="B16" s="3" t="s">
        <v>552</v>
      </c>
      <c r="C16" s="27">
        <v>60000</v>
      </c>
    </row>
    <row r="17" spans="2:3" ht="12.75">
      <c r="B17" s="3" t="s">
        <v>553</v>
      </c>
      <c r="C17" s="20">
        <v>0.1</v>
      </c>
    </row>
    <row r="21" spans="2:3" ht="12.75">
      <c r="B21" s="2" t="s">
        <v>202</v>
      </c>
      <c r="C21" s="2"/>
    </row>
    <row r="22" spans="2:3" ht="12.75">
      <c r="B22" s="2" t="s">
        <v>205</v>
      </c>
      <c r="C22" s="2"/>
    </row>
    <row r="23" spans="2:8" ht="12.75">
      <c r="B23" s="68" t="s">
        <v>243</v>
      </c>
      <c r="C23" s="47">
        <f>C6</f>
        <v>200000</v>
      </c>
      <c r="H23" s="1"/>
    </row>
    <row r="24" spans="2:3" ht="12.75">
      <c r="B24" s="68" t="s">
        <v>244</v>
      </c>
      <c r="C24" s="47">
        <f>C7</f>
        <v>10000</v>
      </c>
    </row>
    <row r="25" spans="2:3" ht="12.75">
      <c r="B25" s="2" t="s">
        <v>245</v>
      </c>
      <c r="C25" s="47"/>
    </row>
    <row r="26" spans="2:3" ht="12.75">
      <c r="B26" s="68" t="s">
        <v>246</v>
      </c>
      <c r="C26" s="47">
        <f>C9</f>
        <v>10000</v>
      </c>
    </row>
    <row r="27" spans="2:8" ht="12.75">
      <c r="B27" s="68" t="s">
        <v>247</v>
      </c>
      <c r="C27" s="47">
        <f>C10</f>
        <v>20000</v>
      </c>
      <c r="H27" s="1"/>
    </row>
    <row r="28" spans="2:3" ht="12.75">
      <c r="B28" s="73" t="s">
        <v>248</v>
      </c>
      <c r="C28" s="74">
        <f>C11</f>
        <v>-20000</v>
      </c>
    </row>
    <row r="29" spans="2:3" ht="12.75">
      <c r="B29" s="71" t="s">
        <v>252</v>
      </c>
      <c r="C29" s="47">
        <f>SUM(C23:C28)</f>
        <v>220000</v>
      </c>
    </row>
    <row r="30" spans="2:3" ht="12.75">
      <c r="B30" s="2"/>
      <c r="C30" s="2"/>
    </row>
    <row r="31" spans="2:3" ht="12.75">
      <c r="B31" s="73" t="s">
        <v>249</v>
      </c>
      <c r="C31" s="74">
        <f>C12</f>
        <v>280000</v>
      </c>
    </row>
    <row r="32" spans="2:3" ht="12.75">
      <c r="B32" s="26" t="s">
        <v>251</v>
      </c>
      <c r="C32" s="47">
        <f>C29+C31</f>
        <v>500000</v>
      </c>
    </row>
    <row r="33" spans="2:3" ht="12.75">
      <c r="B33" s="2"/>
      <c r="C33" s="2"/>
    </row>
    <row r="34" spans="2:3" ht="12.75">
      <c r="B34" s="2"/>
      <c r="C34" s="2"/>
    </row>
    <row r="35" spans="2:3" ht="12.75">
      <c r="B35" s="2" t="s">
        <v>551</v>
      </c>
      <c r="C35" s="117">
        <f>(C29+C15)/C23</f>
        <v>1.6</v>
      </c>
    </row>
    <row r="36" spans="2:3" ht="12.75">
      <c r="B36" s="2" t="s">
        <v>254</v>
      </c>
      <c r="C36" s="47">
        <f>C35*C14</f>
        <v>16</v>
      </c>
    </row>
    <row r="37" spans="2:3" ht="12.75">
      <c r="B37" s="2" t="s">
        <v>554</v>
      </c>
      <c r="C37" s="47">
        <f>C16/C17</f>
        <v>600000</v>
      </c>
    </row>
    <row r="38" spans="2:3" ht="12.75">
      <c r="B38" s="2" t="s">
        <v>555</v>
      </c>
      <c r="C38" s="47">
        <f>C37/C6*C14</f>
        <v>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13" spans="1:10" ht="12.7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</row>
    <row r="14" ht="12.75">
      <c r="A14" t="s">
        <v>19</v>
      </c>
    </row>
    <row r="15" spans="1:3" ht="12.75">
      <c r="A15" s="141" t="s">
        <v>596</v>
      </c>
      <c r="B15" s="141"/>
      <c r="C15" s="141"/>
    </row>
    <row r="16" ht="12.75">
      <c r="A16" t="s">
        <v>20</v>
      </c>
    </row>
    <row r="17" ht="12.75">
      <c r="A17" t="s">
        <v>21</v>
      </c>
    </row>
    <row r="28" spans="1:8" ht="12.75">
      <c r="A28" s="2" t="s">
        <v>16</v>
      </c>
      <c r="B28" s="2"/>
      <c r="C28" s="2"/>
      <c r="D28" s="2"/>
      <c r="E28" s="2"/>
      <c r="F28" s="2"/>
      <c r="G28" s="2"/>
      <c r="H28" s="2"/>
    </row>
    <row r="29" ht="12.75">
      <c r="A29" t="s">
        <v>22</v>
      </c>
    </row>
    <row r="30" ht="12.75">
      <c r="A30" t="s">
        <v>171</v>
      </c>
    </row>
    <row r="31" ht="12.75">
      <c r="A31" t="s">
        <v>23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3"/>
  <dimension ref="A2:J9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ht="12.75">
      <c r="A6" t="s">
        <v>102</v>
      </c>
    </row>
    <row r="7" ht="12.75">
      <c r="A7" t="s">
        <v>103</v>
      </c>
    </row>
    <row r="8" ht="12.75">
      <c r="A8" t="s">
        <v>104</v>
      </c>
    </row>
    <row r="9" ht="12.75">
      <c r="A9" t="s">
        <v>105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4"/>
  <dimension ref="B4:I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12.421875" style="46" customWidth="1"/>
    <col min="3" max="5" width="11.421875" style="46" customWidth="1"/>
    <col min="6" max="6" width="13.28125" style="46" customWidth="1"/>
    <col min="7" max="16384" width="11.421875" style="46" customWidth="1"/>
  </cols>
  <sheetData>
    <row r="4" spans="2:9" ht="33.75" customHeight="1">
      <c r="B4" s="150" t="s">
        <v>556</v>
      </c>
      <c r="C4" s="150"/>
      <c r="D4" s="150"/>
      <c r="E4" s="150"/>
      <c r="F4" s="150" t="s">
        <v>557</v>
      </c>
      <c r="G4" s="150"/>
      <c r="H4" s="150"/>
      <c r="I4" s="150"/>
    </row>
    <row r="5" spans="2:9" ht="25.5" customHeight="1">
      <c r="B5" s="150" t="s">
        <v>559</v>
      </c>
      <c r="C5" s="150"/>
      <c r="D5" s="150" t="s">
        <v>560</v>
      </c>
      <c r="E5" s="150"/>
      <c r="F5" s="150" t="s">
        <v>559</v>
      </c>
      <c r="G5" s="150"/>
      <c r="H5" s="150" t="s">
        <v>560</v>
      </c>
      <c r="I5" s="150"/>
    </row>
    <row r="6" spans="2:9" ht="12.75">
      <c r="B6" s="84">
        <v>150000</v>
      </c>
      <c r="C6" s="130">
        <f>B6/$B$8</f>
        <v>0.75</v>
      </c>
      <c r="D6" s="84">
        <f>D8*E6</f>
        <v>30000</v>
      </c>
      <c r="E6" s="130">
        <f>C6</f>
        <v>0.75</v>
      </c>
      <c r="F6" s="84">
        <v>175000</v>
      </c>
      <c r="G6" s="130">
        <f>F6/$F$8</f>
        <v>0.7</v>
      </c>
      <c r="H6" s="84">
        <f>H8*I6</f>
        <v>28000</v>
      </c>
      <c r="I6" s="130">
        <f>G6</f>
        <v>0.7</v>
      </c>
    </row>
    <row r="7" spans="2:9" ht="12.75">
      <c r="B7" s="84">
        <v>50000</v>
      </c>
      <c r="C7" s="130">
        <f>B7/$B$8</f>
        <v>0.25</v>
      </c>
      <c r="D7" s="84">
        <f>D8*E7</f>
        <v>10000</v>
      </c>
      <c r="E7" s="130">
        <f>C7</f>
        <v>0.25</v>
      </c>
      <c r="F7" s="84">
        <v>75000</v>
      </c>
      <c r="G7" s="130">
        <f>F7/$F$8</f>
        <v>0.3</v>
      </c>
      <c r="H7" s="84">
        <f>H8*I7</f>
        <v>12000</v>
      </c>
      <c r="I7" s="130">
        <f>G7</f>
        <v>0.3</v>
      </c>
    </row>
    <row r="8" spans="2:9" ht="12.75">
      <c r="B8" s="84">
        <f>SUM(B6:B7)</f>
        <v>200000</v>
      </c>
      <c r="C8" s="130">
        <f>B8/$B$8</f>
        <v>1</v>
      </c>
      <c r="D8" s="84">
        <v>40000</v>
      </c>
      <c r="E8" s="130">
        <f>C8</f>
        <v>1</v>
      </c>
      <c r="F8" s="84">
        <f>SUM(F6:F7)</f>
        <v>250000</v>
      </c>
      <c r="G8" s="130">
        <f>F8/$F$8</f>
        <v>1</v>
      </c>
      <c r="H8" s="84">
        <f>D8</f>
        <v>40000</v>
      </c>
      <c r="I8" s="130">
        <f>G8</f>
        <v>1</v>
      </c>
    </row>
  </sheetData>
  <mergeCells count="6">
    <mergeCell ref="B4:E4"/>
    <mergeCell ref="F4:I4"/>
    <mergeCell ref="H5:I5"/>
    <mergeCell ref="F5:G5"/>
    <mergeCell ref="D5:E5"/>
    <mergeCell ref="B5:C5"/>
  </mergeCells>
  <printOptions/>
  <pageMargins left="0.75" right="0.75" top="1" bottom="1" header="0.4921259845" footer="0.4921259845"/>
  <pageSetup orientation="portrait" paperSize="9"/>
  <ignoredErrors>
    <ignoredError sqref="C8 F8:G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5"/>
  <dimension ref="B4:G9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12.8515625" style="46" customWidth="1"/>
    <col min="3" max="3" width="13.140625" style="46" customWidth="1"/>
    <col min="4" max="4" width="12.8515625" style="46" customWidth="1"/>
    <col min="5" max="5" width="11.140625" style="46" customWidth="1"/>
    <col min="6" max="16384" width="12.8515625" style="46" customWidth="1"/>
  </cols>
  <sheetData>
    <row r="4" spans="2:7" ht="30.75" customHeight="1">
      <c r="B4" s="37" t="s">
        <v>561</v>
      </c>
      <c r="C4" s="37" t="s">
        <v>562</v>
      </c>
      <c r="D4" s="37" t="s">
        <v>563</v>
      </c>
      <c r="E4" s="37" t="s">
        <v>564</v>
      </c>
      <c r="F4" s="150" t="s">
        <v>565</v>
      </c>
      <c r="G4" s="150"/>
    </row>
    <row r="5" spans="2:7" ht="12.75">
      <c r="B5" s="37" t="s">
        <v>164</v>
      </c>
      <c r="C5" s="84">
        <f>'83'!$B6</f>
        <v>150000</v>
      </c>
      <c r="D5" s="84">
        <f>'83'!D6</f>
        <v>30000</v>
      </c>
      <c r="E5" s="84">
        <v>0</v>
      </c>
      <c r="F5" s="84">
        <f>C5+D5+E5</f>
        <v>180000</v>
      </c>
      <c r="G5" s="131">
        <f>F5/$F$8</f>
        <v>0.6206896551724138</v>
      </c>
    </row>
    <row r="6" spans="2:7" ht="12.75">
      <c r="B6" s="37" t="s">
        <v>558</v>
      </c>
      <c r="C6" s="84">
        <f>'83'!$B7</f>
        <v>50000</v>
      </c>
      <c r="D6" s="84">
        <f>'83'!D7</f>
        <v>10000</v>
      </c>
      <c r="E6" s="84">
        <v>0</v>
      </c>
      <c r="F6" s="84">
        <f>C6+D6+E6</f>
        <v>60000</v>
      </c>
      <c r="G6" s="131">
        <f>F6/$F$8</f>
        <v>0.20689655172413793</v>
      </c>
    </row>
    <row r="7" spans="2:7" ht="12.75">
      <c r="B7" s="37" t="s">
        <v>566</v>
      </c>
      <c r="C7" s="84">
        <v>0</v>
      </c>
      <c r="D7" s="84">
        <v>0</v>
      </c>
      <c r="E7" s="84">
        <v>50000</v>
      </c>
      <c r="F7" s="84">
        <f>C7+D7+E7</f>
        <v>50000</v>
      </c>
      <c r="G7" s="131">
        <f>F7/$F$8</f>
        <v>0.1724137931034483</v>
      </c>
    </row>
    <row r="8" spans="2:7" ht="12.75">
      <c r="B8" s="37" t="s">
        <v>251</v>
      </c>
      <c r="C8" s="84">
        <f>SUM(C5:C7)</f>
        <v>200000</v>
      </c>
      <c r="D8" s="84">
        <f>SUM(D5:D7)</f>
        <v>40000</v>
      </c>
      <c r="E8" s="84">
        <f>SUM(E5:E7)</f>
        <v>50000</v>
      </c>
      <c r="F8" s="84">
        <f>SUM(F5:F7)</f>
        <v>290000</v>
      </c>
      <c r="G8" s="132">
        <f>F8/$F$8</f>
        <v>1</v>
      </c>
    </row>
    <row r="9" ht="12.75">
      <c r="C9" s="78"/>
    </row>
  </sheetData>
  <mergeCells count="1">
    <mergeCell ref="F4:G4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6"/>
  <dimension ref="B4:G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13.8515625" style="46" customWidth="1"/>
    <col min="3" max="3" width="13.28125" style="46" customWidth="1"/>
    <col min="4" max="4" width="11.421875" style="46" customWidth="1"/>
    <col min="5" max="5" width="14.140625" style="46" customWidth="1"/>
    <col min="6" max="6" width="13.7109375" style="46" customWidth="1"/>
    <col min="7" max="16384" width="11.421875" style="46" customWidth="1"/>
  </cols>
  <sheetData>
    <row r="4" spans="2:7" ht="12.75">
      <c r="B4" s="37" t="s">
        <v>202</v>
      </c>
      <c r="C4" s="37"/>
      <c r="D4" s="37"/>
      <c r="E4" s="150" t="s">
        <v>567</v>
      </c>
      <c r="F4" s="150"/>
      <c r="G4" s="150"/>
    </row>
    <row r="5" spans="2:7" ht="25.5">
      <c r="B5" s="60" t="s">
        <v>568</v>
      </c>
      <c r="C5" s="151" t="s">
        <v>562</v>
      </c>
      <c r="D5" s="151"/>
      <c r="E5" s="60" t="s">
        <v>569</v>
      </c>
      <c r="F5" s="60" t="s">
        <v>570</v>
      </c>
      <c r="G5" s="60" t="s">
        <v>358</v>
      </c>
    </row>
    <row r="6" spans="2:7" ht="12.75">
      <c r="B6" s="37"/>
      <c r="C6" s="86">
        <f>'84'!C5</f>
        <v>150000</v>
      </c>
      <c r="D6" s="37"/>
      <c r="E6" s="86"/>
      <c r="F6" s="86"/>
      <c r="G6" s="86"/>
    </row>
    <row r="7" spans="2:7" ht="12.75">
      <c r="B7" s="37"/>
      <c r="C7" s="86">
        <f>-G8</f>
        <v>5172.413793103449</v>
      </c>
      <c r="D7" s="37"/>
      <c r="E7" s="86"/>
      <c r="F7" s="86"/>
      <c r="G7" s="86"/>
    </row>
    <row r="8" spans="2:7" ht="12.75">
      <c r="B8" s="37" t="s">
        <v>164</v>
      </c>
      <c r="C8" s="86">
        <f>C6+C7</f>
        <v>155172.41379310345</v>
      </c>
      <c r="D8" s="108">
        <f>'84'!G5</f>
        <v>0.6206896551724138</v>
      </c>
      <c r="E8" s="86">
        <f>'84'!D5</f>
        <v>30000</v>
      </c>
      <c r="F8" s="86">
        <f>D8*'84'!$D$8</f>
        <v>24827.58620689655</v>
      </c>
      <c r="G8" s="86">
        <f>F8-E8</f>
        <v>-5172.413793103449</v>
      </c>
    </row>
    <row r="9" spans="2:7" ht="12.75">
      <c r="B9" s="37"/>
      <c r="C9" s="86"/>
      <c r="D9" s="37"/>
      <c r="E9" s="86"/>
      <c r="F9" s="86"/>
      <c r="G9" s="86"/>
    </row>
    <row r="10" spans="2:7" ht="12.75">
      <c r="B10" s="37"/>
      <c r="C10" s="86">
        <f>'84'!C6</f>
        <v>50000</v>
      </c>
      <c r="D10" s="37"/>
      <c r="E10" s="86"/>
      <c r="F10" s="86"/>
      <c r="G10" s="86"/>
    </row>
    <row r="11" spans="2:7" ht="12.75">
      <c r="B11" s="37"/>
      <c r="C11" s="86">
        <f>-G12</f>
        <v>1724.1379310344837</v>
      </c>
      <c r="D11" s="37"/>
      <c r="E11" s="86"/>
      <c r="F11" s="86"/>
      <c r="G11" s="86"/>
    </row>
    <row r="12" spans="2:7" ht="12.75">
      <c r="B12" s="37" t="s">
        <v>558</v>
      </c>
      <c r="C12" s="86">
        <f>C10+C11</f>
        <v>51724.137931034486</v>
      </c>
      <c r="D12" s="108">
        <f>'84'!G6</f>
        <v>0.20689655172413793</v>
      </c>
      <c r="E12" s="86">
        <f>'84'!D6</f>
        <v>10000</v>
      </c>
      <c r="F12" s="86">
        <f>D12*'84'!$D$8</f>
        <v>8275.862068965516</v>
      </c>
      <c r="G12" s="86">
        <f>F12-E12</f>
        <v>-1724.1379310344837</v>
      </c>
    </row>
    <row r="13" spans="2:7" ht="12.75">
      <c r="B13" s="37"/>
      <c r="C13" s="86"/>
      <c r="D13" s="37"/>
      <c r="E13" s="86"/>
      <c r="F13" s="86"/>
      <c r="G13" s="86"/>
    </row>
    <row r="14" spans="2:7" ht="12.75">
      <c r="B14" s="37"/>
      <c r="C14" s="86">
        <f>'84'!E7</f>
        <v>50000</v>
      </c>
      <c r="D14" s="37"/>
      <c r="E14" s="86"/>
      <c r="F14" s="86"/>
      <c r="G14" s="86"/>
    </row>
    <row r="15" spans="2:7" ht="12.75">
      <c r="B15" s="37"/>
      <c r="C15" s="86">
        <f>G8</f>
        <v>-5172.413793103449</v>
      </c>
      <c r="D15" s="37"/>
      <c r="E15" s="86"/>
      <c r="F15" s="86"/>
      <c r="G15" s="86"/>
    </row>
    <row r="16" spans="2:7" ht="12.75">
      <c r="B16" s="37"/>
      <c r="C16" s="86">
        <f>G12</f>
        <v>-1724.1379310344837</v>
      </c>
      <c r="D16" s="37"/>
      <c r="E16" s="86"/>
      <c r="F16" s="86"/>
      <c r="G16" s="86"/>
    </row>
    <row r="17" spans="2:7" ht="12.75">
      <c r="B17" s="37" t="s">
        <v>566</v>
      </c>
      <c r="C17" s="86">
        <f>C14+C15+C16</f>
        <v>43103.448275862065</v>
      </c>
      <c r="D17" s="108">
        <f>'84'!G7</f>
        <v>0.1724137931034483</v>
      </c>
      <c r="E17" s="86"/>
      <c r="F17" s="86">
        <f>D17*'84'!$D$8</f>
        <v>6896.551724137931</v>
      </c>
      <c r="G17" s="143">
        <f>F17-E17</f>
        <v>6896.551724137931</v>
      </c>
    </row>
    <row r="18" spans="2:7" ht="12.75">
      <c r="B18" s="37"/>
      <c r="C18" s="86"/>
      <c r="D18" s="37"/>
      <c r="E18" s="86"/>
      <c r="F18" s="86"/>
      <c r="G18" s="86"/>
    </row>
    <row r="19" spans="2:7" ht="12.75">
      <c r="B19" s="37" t="s">
        <v>251</v>
      </c>
      <c r="C19" s="86">
        <f>C8+C12+C17</f>
        <v>250000</v>
      </c>
      <c r="D19" s="130">
        <f>SUM(D8:D17)</f>
        <v>1</v>
      </c>
      <c r="E19" s="86">
        <f>SUM(E8:E17)</f>
        <v>40000</v>
      </c>
      <c r="F19" s="86">
        <f>SUM(F8:F17)</f>
        <v>40000</v>
      </c>
      <c r="G19" s="86"/>
    </row>
  </sheetData>
  <mergeCells count="2">
    <mergeCell ref="C5:D5"/>
    <mergeCell ref="E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08"/>
  <dimension ref="B4:I2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3.57421875" style="0" customWidth="1"/>
  </cols>
  <sheetData>
    <row r="4" spans="2:3" ht="12.75">
      <c r="B4" s="3" t="s">
        <v>202</v>
      </c>
      <c r="C4" s="3"/>
    </row>
    <row r="5" spans="2:3" ht="12.75">
      <c r="B5" s="3" t="s">
        <v>259</v>
      </c>
      <c r="C5" s="27">
        <v>1000000</v>
      </c>
    </row>
    <row r="6" spans="2:3" ht="12.75">
      <c r="B6" s="3" t="s">
        <v>255</v>
      </c>
      <c r="C6" s="27">
        <v>500000</v>
      </c>
    </row>
    <row r="7" spans="2:3" ht="12.75">
      <c r="B7" s="3" t="s">
        <v>262</v>
      </c>
      <c r="C7" s="27">
        <v>10</v>
      </c>
    </row>
    <row r="8" spans="2:3" ht="12.75">
      <c r="B8" s="3" t="s">
        <v>263</v>
      </c>
      <c r="C8" s="27">
        <v>7</v>
      </c>
    </row>
    <row r="9" ht="12.75">
      <c r="B9" s="3"/>
    </row>
    <row r="10" ht="12.75">
      <c r="B10" s="3" t="s">
        <v>258</v>
      </c>
    </row>
    <row r="11" spans="2:3" ht="12.75">
      <c r="B11" s="3" t="s">
        <v>256</v>
      </c>
      <c r="C11" s="27">
        <v>200000</v>
      </c>
    </row>
    <row r="12" spans="2:3" ht="12.75">
      <c r="B12" s="3" t="s">
        <v>257</v>
      </c>
      <c r="C12" s="27">
        <v>100000</v>
      </c>
    </row>
    <row r="16" spans="2:3" ht="12.75">
      <c r="B16" s="2" t="s">
        <v>202</v>
      </c>
      <c r="C16" s="2"/>
    </row>
    <row r="17" spans="2:3" ht="12.75">
      <c r="B17" s="2" t="s">
        <v>260</v>
      </c>
      <c r="C17" s="47">
        <f>'89'!$C$11*'89'!$C$7</f>
        <v>2000000</v>
      </c>
    </row>
    <row r="18" spans="2:3" ht="12.75">
      <c r="B18" s="2" t="s">
        <v>261</v>
      </c>
      <c r="C18" s="47">
        <f>'89'!$C$12*'89'!$C$8</f>
        <v>700000</v>
      </c>
    </row>
    <row r="19" spans="2:3" ht="12.75">
      <c r="B19" s="2"/>
      <c r="C19" s="2"/>
    </row>
    <row r="20" spans="2:3" ht="12.75">
      <c r="B20" s="2" t="s">
        <v>264</v>
      </c>
      <c r="C20" s="2">
        <f>($C$5+$C$6)/('89'!$C$11+'89'!$C$12)</f>
        <v>5</v>
      </c>
    </row>
    <row r="21" ht="12.75">
      <c r="I21" s="3"/>
    </row>
  </sheetData>
  <printOptions/>
  <pageMargins left="0.75" right="0.75" top="1" bottom="1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109"/>
  <dimension ref="B4:I1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9.28125" style="0" customWidth="1"/>
    <col min="3" max="3" width="6.8515625" style="0" customWidth="1"/>
    <col min="4" max="4" width="10.7109375" style="0" customWidth="1"/>
    <col min="9" max="9" width="18.140625" style="0" customWidth="1"/>
  </cols>
  <sheetData>
    <row r="4" spans="2:3" ht="12.75">
      <c r="B4" s="3" t="s">
        <v>258</v>
      </c>
      <c r="C4" s="3"/>
    </row>
    <row r="5" spans="2:3" ht="12.75">
      <c r="B5" s="3" t="s">
        <v>265</v>
      </c>
      <c r="C5" s="3">
        <v>2</v>
      </c>
    </row>
    <row r="6" spans="2:3" ht="12.75">
      <c r="B6" s="3" t="s">
        <v>266</v>
      </c>
      <c r="C6" s="3">
        <v>1</v>
      </c>
    </row>
    <row r="7" spans="2:3" ht="12.75">
      <c r="B7" s="3"/>
      <c r="C7" s="3"/>
    </row>
    <row r="8" spans="2:3" ht="12.75">
      <c r="B8" s="3" t="s">
        <v>202</v>
      </c>
      <c r="C8" s="3"/>
    </row>
    <row r="9" spans="2:3" ht="12.75">
      <c r="B9" s="3" t="s">
        <v>267</v>
      </c>
      <c r="C9" s="3">
        <v>10</v>
      </c>
    </row>
    <row r="10" spans="2:3" ht="12.75">
      <c r="B10" s="3" t="s">
        <v>268</v>
      </c>
      <c r="C10" s="3">
        <v>7</v>
      </c>
    </row>
    <row r="14" spans="2:9" ht="12.75">
      <c r="B14" s="2" t="s">
        <v>269</v>
      </c>
      <c r="C14" s="2" t="s">
        <v>270</v>
      </c>
      <c r="D14" s="2" t="s">
        <v>267</v>
      </c>
      <c r="E14" s="2" t="s">
        <v>268</v>
      </c>
      <c r="F14" s="2" t="s">
        <v>271</v>
      </c>
      <c r="G14" s="2" t="s">
        <v>272</v>
      </c>
      <c r="H14" s="2" t="s">
        <v>273</v>
      </c>
      <c r="I14" s="2" t="s">
        <v>274</v>
      </c>
    </row>
    <row r="15" spans="2:9" ht="12.75">
      <c r="B15" s="2"/>
      <c r="C15" s="2"/>
      <c r="D15" s="2"/>
      <c r="E15" s="2"/>
      <c r="F15" s="2"/>
      <c r="G15" s="2"/>
      <c r="H15" s="2"/>
      <c r="I15" s="2"/>
    </row>
    <row r="16" spans="2:9" ht="12.75">
      <c r="B16" s="2" t="s">
        <v>265</v>
      </c>
      <c r="C16" s="2">
        <f>'90-1'!$C$5</f>
        <v>2</v>
      </c>
      <c r="D16" s="2">
        <f>'90-1'!$C$9</f>
        <v>10</v>
      </c>
      <c r="E16" s="2">
        <v>0</v>
      </c>
      <c r="F16" s="2">
        <f>(($C$16*$D$16)+($C$17*$E$17))/($C$16+$C$17)</f>
        <v>9</v>
      </c>
      <c r="G16" s="2">
        <f>C16*D16</f>
        <v>20</v>
      </c>
      <c r="H16" s="2">
        <f>C16*F16</f>
        <v>18</v>
      </c>
      <c r="I16" s="2">
        <f>H16-G16</f>
        <v>-2</v>
      </c>
    </row>
    <row r="17" spans="2:9" ht="12.75">
      <c r="B17" s="2" t="s">
        <v>266</v>
      </c>
      <c r="C17" s="2">
        <v>1</v>
      </c>
      <c r="D17" s="2">
        <v>0</v>
      </c>
      <c r="E17" s="2">
        <f>'90-1'!$C$10</f>
        <v>7</v>
      </c>
      <c r="F17" s="2">
        <f>(($C$16*$D$16)+($C$17*$E$17))/($C$16+$C$17)</f>
        <v>9</v>
      </c>
      <c r="G17" s="2">
        <f>C17*E17</f>
        <v>7</v>
      </c>
      <c r="H17" s="2">
        <f>C17*F17</f>
        <v>9</v>
      </c>
      <c r="I17" s="2">
        <f>H17-G17</f>
        <v>2</v>
      </c>
    </row>
    <row r="18" spans="2:9" ht="12.75">
      <c r="B18" s="2"/>
      <c r="C18" s="2"/>
      <c r="D18" s="2"/>
      <c r="E18" s="2"/>
      <c r="F18" s="2"/>
      <c r="G18" s="2"/>
      <c r="H18" s="2"/>
      <c r="I18" s="2"/>
    </row>
    <row r="19" spans="2:9" ht="12.75">
      <c r="B19" s="2" t="s">
        <v>275</v>
      </c>
      <c r="C19" s="2"/>
      <c r="D19" s="2"/>
      <c r="E19" s="2"/>
      <c r="F19" s="2"/>
      <c r="G19" s="2">
        <f>SUM(G16:G18)</f>
        <v>27</v>
      </c>
      <c r="H19" s="2">
        <f>SUM(H16:H18)</f>
        <v>27</v>
      </c>
      <c r="I19" s="2">
        <f>SUM(I16:I18)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9"/>
  <dimension ref="A2:J5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110"/>
  <dimension ref="B4:C1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5.57421875" style="0" bestFit="1" customWidth="1"/>
  </cols>
  <sheetData>
    <row r="4" spans="2:3" ht="12.75">
      <c r="B4" s="3" t="s">
        <v>256</v>
      </c>
      <c r="C4" s="3">
        <v>2</v>
      </c>
    </row>
    <row r="5" spans="2:3" ht="12.75">
      <c r="B5" s="3" t="s">
        <v>257</v>
      </c>
      <c r="C5" s="3">
        <v>1</v>
      </c>
    </row>
    <row r="6" spans="2:3" ht="12.75">
      <c r="B6" s="3" t="s">
        <v>276</v>
      </c>
      <c r="C6" s="3">
        <v>10</v>
      </c>
    </row>
    <row r="7" spans="2:3" ht="12.75">
      <c r="B7" s="3" t="s">
        <v>277</v>
      </c>
      <c r="C7" s="3">
        <v>7</v>
      </c>
    </row>
    <row r="11" spans="2:3" ht="12.75">
      <c r="B11" s="2" t="s">
        <v>278</v>
      </c>
      <c r="C11" s="2">
        <f>(('91-1'!$C$6-'91-1'!$C$7)/(('91-1'!$C$4/'91-1'!$C$5)+1))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111"/>
  <dimension ref="B4:C14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38.57421875" style="0" bestFit="1" customWidth="1"/>
  </cols>
  <sheetData>
    <row r="4" spans="2:3" ht="12.75">
      <c r="B4" s="3" t="s">
        <v>256</v>
      </c>
      <c r="C4" s="3">
        <v>2</v>
      </c>
    </row>
    <row r="5" spans="2:3" ht="12.75">
      <c r="B5" s="3" t="s">
        <v>257</v>
      </c>
      <c r="C5" s="3">
        <v>1</v>
      </c>
    </row>
    <row r="6" spans="2:3" ht="12.75">
      <c r="B6" s="3" t="s">
        <v>276</v>
      </c>
      <c r="C6" s="3">
        <v>10</v>
      </c>
    </row>
    <row r="7" spans="2:3" ht="12.75">
      <c r="B7" s="3" t="s">
        <v>277</v>
      </c>
      <c r="C7" s="3">
        <v>7</v>
      </c>
    </row>
    <row r="8" spans="2:3" ht="12.75">
      <c r="B8" s="3"/>
      <c r="C8" s="3"/>
    </row>
    <row r="9" spans="2:3" ht="12.75">
      <c r="B9" s="3" t="s">
        <v>279</v>
      </c>
      <c r="C9" s="29">
        <v>0.6</v>
      </c>
    </row>
    <row r="10" spans="2:3" ht="12.75">
      <c r="B10" s="3" t="s">
        <v>280</v>
      </c>
      <c r="C10" s="20">
        <v>0.5</v>
      </c>
    </row>
    <row r="11" spans="2:3" ht="12.75">
      <c r="B11" s="3"/>
      <c r="C11" s="3"/>
    </row>
    <row r="14" spans="2:3" ht="12.75">
      <c r="B14" s="2" t="s">
        <v>278</v>
      </c>
      <c r="C14" s="19">
        <f>(('91-2'!$C$6-('91-2'!$C$7+('91-2'!$C$9*'91-2'!$C$10))))/(('91-2'!$C$4/'91-2'!$C$5)+1)</f>
        <v>0.9</v>
      </c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112"/>
  <dimension ref="B4:I14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8.57421875" style="0" customWidth="1"/>
    <col min="3" max="3" width="14.8515625" style="0" customWidth="1"/>
    <col min="4" max="4" width="19.57421875" style="0" customWidth="1"/>
    <col min="5" max="5" width="17.7109375" style="0" customWidth="1"/>
    <col min="6" max="6" width="19.28125" style="0" customWidth="1"/>
    <col min="7" max="7" width="20.140625" style="0" customWidth="1"/>
    <col min="8" max="8" width="15.421875" style="0" customWidth="1"/>
    <col min="9" max="9" width="14.421875" style="0" customWidth="1"/>
  </cols>
  <sheetData>
    <row r="4" spans="2:4" ht="12.75">
      <c r="B4" s="3" t="s">
        <v>284</v>
      </c>
      <c r="C4" s="27">
        <v>120000000</v>
      </c>
      <c r="D4" s="3" t="s">
        <v>106</v>
      </c>
    </row>
    <row r="5" spans="2:4" ht="12.75">
      <c r="B5" s="3" t="s">
        <v>283</v>
      </c>
      <c r="C5" s="27">
        <v>60000000</v>
      </c>
      <c r="D5" s="3" t="s">
        <v>227</v>
      </c>
    </row>
    <row r="6" spans="2:4" ht="12.75">
      <c r="B6" s="3" t="s">
        <v>282</v>
      </c>
      <c r="C6" s="27">
        <v>24000000</v>
      </c>
      <c r="D6" s="3" t="s">
        <v>106</v>
      </c>
    </row>
    <row r="7" spans="2:4" ht="12.75">
      <c r="B7" s="3" t="s">
        <v>281</v>
      </c>
      <c r="C7" s="3">
        <v>6</v>
      </c>
      <c r="D7" s="3" t="s">
        <v>106</v>
      </c>
    </row>
    <row r="11" spans="2:9" ht="25.5">
      <c r="B11" s="127" t="s">
        <v>285</v>
      </c>
      <c r="C11" s="127" t="s">
        <v>292</v>
      </c>
      <c r="D11" s="127" t="s">
        <v>286</v>
      </c>
      <c r="E11" s="127" t="s">
        <v>287</v>
      </c>
      <c r="F11" s="127" t="s">
        <v>291</v>
      </c>
      <c r="G11" s="127" t="s">
        <v>288</v>
      </c>
      <c r="H11" s="127" t="s">
        <v>289</v>
      </c>
      <c r="I11" s="127" t="s">
        <v>290</v>
      </c>
    </row>
    <row r="12" spans="2:9" ht="12.75">
      <c r="B12" s="39">
        <v>2</v>
      </c>
      <c r="C12" s="128">
        <f>D12/B12</f>
        <v>12000000</v>
      </c>
      <c r="D12" s="128">
        <f>'92'!$C$6</f>
        <v>24000000</v>
      </c>
      <c r="E12" s="128">
        <f>'92'!$C$5/C12</f>
        <v>5</v>
      </c>
      <c r="F12" s="128">
        <f>D12-G12</f>
        <v>24000000</v>
      </c>
      <c r="G12" s="128">
        <f>C12*(B12-$B$12)</f>
        <v>0</v>
      </c>
      <c r="H12" s="126">
        <f>('92'!$C$7-(D12/C12))/(1+E12)</f>
        <v>0.6666666666666666</v>
      </c>
      <c r="I12" s="126">
        <f>'92'!$C$7-H12</f>
        <v>5.333333333333333</v>
      </c>
    </row>
    <row r="13" spans="2:9" ht="12.75">
      <c r="B13" s="39">
        <v>4</v>
      </c>
      <c r="C13" s="128">
        <f>D13/B13</f>
        <v>6000000</v>
      </c>
      <c r="D13" s="128">
        <f>'92'!$C$6</f>
        <v>24000000</v>
      </c>
      <c r="E13" s="128">
        <f>'92'!$C$5/C13</f>
        <v>10</v>
      </c>
      <c r="F13" s="128">
        <f>D13-G13</f>
        <v>12000000</v>
      </c>
      <c r="G13" s="128">
        <f>C13*(B13-$B$12)</f>
        <v>12000000</v>
      </c>
      <c r="H13" s="126">
        <f>('92'!$C$7-(D13/C13))/(1+E13)</f>
        <v>0.18181818181818182</v>
      </c>
      <c r="I13" s="126">
        <f>'92'!$C$7-H13</f>
        <v>5.818181818181818</v>
      </c>
    </row>
    <row r="14" spans="2:9" ht="12.75">
      <c r="B14" s="39">
        <v>6</v>
      </c>
      <c r="C14" s="128">
        <f>D14/B14</f>
        <v>4000000</v>
      </c>
      <c r="D14" s="128">
        <f>'92'!$C$6</f>
        <v>24000000</v>
      </c>
      <c r="E14" s="128">
        <f>'92'!$C$5/C14</f>
        <v>15</v>
      </c>
      <c r="F14" s="128">
        <f>D14-G14</f>
        <v>8000000</v>
      </c>
      <c r="G14" s="128">
        <f>C14*(B14-$B$12)</f>
        <v>16000000</v>
      </c>
      <c r="H14" s="126">
        <f>('92'!$C$7-(D14/C14))/(1+E14)</f>
        <v>0</v>
      </c>
      <c r="I14" s="126">
        <f>'92'!$C$7-H14</f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33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13" spans="1:10" ht="12.7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27" spans="1:8" ht="12.75">
      <c r="A27" s="2" t="s">
        <v>16</v>
      </c>
      <c r="B27" s="2"/>
      <c r="C27" s="2"/>
      <c r="D27" s="2"/>
      <c r="E27" s="2"/>
      <c r="F27" s="2"/>
      <c r="G27" s="2"/>
      <c r="H27" s="2"/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3"/>
  <dimension ref="A2:J5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4"/>
  <dimension ref="A2:J13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ht="12.75">
      <c r="A6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110</v>
      </c>
    </row>
    <row r="10" ht="12.75">
      <c r="A10" t="s">
        <v>111</v>
      </c>
    </row>
    <row r="11" ht="12.75">
      <c r="A11" t="s">
        <v>112</v>
      </c>
    </row>
    <row r="12" ht="12.75">
      <c r="A12" t="s">
        <v>113</v>
      </c>
    </row>
    <row r="13" ht="12.75">
      <c r="A13" t="s">
        <v>114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5"/>
  <dimension ref="A2:J5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6"/>
  <dimension ref="A2:J26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ht="12.75">
      <c r="A6" t="s">
        <v>115</v>
      </c>
    </row>
    <row r="7" ht="12.75">
      <c r="A7" t="s">
        <v>116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9" spans="1:8" ht="12.75">
      <c r="A19" s="2" t="s">
        <v>16</v>
      </c>
      <c r="B19" s="2"/>
      <c r="C19" s="2"/>
      <c r="D19" s="2"/>
      <c r="E19" s="2"/>
      <c r="F19" s="2"/>
      <c r="G19" s="2"/>
      <c r="H19" s="2"/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7"/>
  <dimension ref="A2:J5"/>
  <sheetViews>
    <sheetView showGridLines="0" workbookViewId="0" topLeftCell="A4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113"/>
  <dimension ref="B4:J1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2.00390625" style="0" customWidth="1"/>
  </cols>
  <sheetData>
    <row r="4" spans="2:10" ht="12.75">
      <c r="B4" s="3" t="s">
        <v>138</v>
      </c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</row>
    <row r="5" spans="2:10" ht="12.75">
      <c r="B5" s="3" t="s">
        <v>293</v>
      </c>
      <c r="C5" s="27">
        <v>16000000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</row>
    <row r="6" spans="2:10" ht="12.75">
      <c r="B6" s="3" t="s">
        <v>294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53000000</v>
      </c>
    </row>
    <row r="7" spans="2:10" ht="12.75">
      <c r="B7" s="3" t="s">
        <v>295</v>
      </c>
      <c r="C7" s="27">
        <f>C6-C5</f>
        <v>-16000000</v>
      </c>
      <c r="D7" s="27">
        <f aca="true" t="shared" si="0" ref="D7:J7">D6-D5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53000000</v>
      </c>
    </row>
    <row r="10" spans="2:3" ht="12.75">
      <c r="B10" s="2" t="s">
        <v>296</v>
      </c>
      <c r="C10" s="31">
        <f>IRR('158'!$C$7:$J$7)</f>
        <v>0.18660994500670805</v>
      </c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39"/>
  <dimension ref="A2:J13"/>
  <sheetViews>
    <sheetView showGridLines="0" workbookViewId="0" topLeftCell="A1">
      <selection activeCell="L39" sqref="L39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40"/>
  <dimension ref="A2:J5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41"/>
  <dimension ref="A2:J5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114"/>
  <dimension ref="B4:I22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3" width="18.28125" style="0" customWidth="1"/>
    <col min="7" max="7" width="18.7109375" style="0" customWidth="1"/>
  </cols>
  <sheetData>
    <row r="4" spans="2:4" ht="12.75">
      <c r="B4" s="3" t="s">
        <v>297</v>
      </c>
      <c r="C4" s="27">
        <v>250000</v>
      </c>
      <c r="D4" s="3" t="s">
        <v>106</v>
      </c>
    </row>
    <row r="5" spans="2:3" ht="12.75">
      <c r="B5" s="3" t="s">
        <v>142</v>
      </c>
      <c r="C5" s="3">
        <v>7</v>
      </c>
    </row>
    <row r="6" spans="2:3" ht="12.75">
      <c r="B6" s="3" t="s">
        <v>298</v>
      </c>
      <c r="C6" s="3">
        <v>2</v>
      </c>
    </row>
    <row r="7" spans="2:3" ht="12.75">
      <c r="B7" s="3" t="s">
        <v>300</v>
      </c>
      <c r="C7" s="20">
        <v>0.1</v>
      </c>
    </row>
    <row r="8" spans="2:3" ht="12.75">
      <c r="B8" s="3" t="s">
        <v>299</v>
      </c>
      <c r="C8" s="20">
        <v>0.2</v>
      </c>
    </row>
    <row r="12" spans="2:9" ht="38.25">
      <c r="B12" s="56" t="s">
        <v>138</v>
      </c>
      <c r="C12" s="56" t="s">
        <v>529</v>
      </c>
      <c r="D12" s="56" t="s">
        <v>497</v>
      </c>
      <c r="E12" s="56" t="s">
        <v>530</v>
      </c>
      <c r="F12" s="56" t="s">
        <v>531</v>
      </c>
      <c r="G12" s="56" t="s">
        <v>532</v>
      </c>
      <c r="I12" s="3"/>
    </row>
    <row r="13" spans="2:7" ht="12.75">
      <c r="B13" s="2"/>
      <c r="C13" s="2"/>
      <c r="D13" s="2"/>
      <c r="E13" s="2"/>
      <c r="F13" s="2"/>
      <c r="G13" s="2"/>
    </row>
    <row r="14" spans="2:7" ht="12.75">
      <c r="B14" s="2">
        <v>1</v>
      </c>
      <c r="C14" s="47">
        <f>'229'!$C$4</f>
        <v>250000</v>
      </c>
      <c r="D14" s="47">
        <f>C14*'229'!$C$7</f>
        <v>25000</v>
      </c>
      <c r="E14" s="47">
        <f>IF(B14&lt;='229'!$C$6,0,'229'!$C$4*'229'!$C$8)</f>
        <v>0</v>
      </c>
      <c r="F14" s="47">
        <f aca="true" t="shared" si="0" ref="F14:F20">D14+E14</f>
        <v>25000</v>
      </c>
      <c r="G14" s="47">
        <f aca="true" t="shared" si="1" ref="G14:G20">C14-E14</f>
        <v>250000</v>
      </c>
    </row>
    <row r="15" spans="2:7" ht="12.75">
      <c r="B15" s="2">
        <v>2</v>
      </c>
      <c r="C15" s="47">
        <f aca="true" t="shared" si="2" ref="C15:C20">G14</f>
        <v>250000</v>
      </c>
      <c r="D15" s="47">
        <f>C15*'229'!$C$7</f>
        <v>25000</v>
      </c>
      <c r="E15" s="47">
        <f>IF(B15&lt;='229'!$C$6,0,'229'!$C$4*'229'!$C$8)</f>
        <v>0</v>
      </c>
      <c r="F15" s="47">
        <f t="shared" si="0"/>
        <v>25000</v>
      </c>
      <c r="G15" s="47">
        <f t="shared" si="1"/>
        <v>250000</v>
      </c>
    </row>
    <row r="16" spans="2:7" ht="12.75">
      <c r="B16" s="2">
        <v>3</v>
      </c>
      <c r="C16" s="47">
        <f t="shared" si="2"/>
        <v>250000</v>
      </c>
      <c r="D16" s="47">
        <f>C16*'229'!$C$7</f>
        <v>25000</v>
      </c>
      <c r="E16" s="47">
        <f>IF(B16&lt;='229'!$C$6,0,'229'!$C$4*'229'!$C$8)</f>
        <v>50000</v>
      </c>
      <c r="F16" s="47">
        <f t="shared" si="0"/>
        <v>75000</v>
      </c>
      <c r="G16" s="47">
        <f t="shared" si="1"/>
        <v>200000</v>
      </c>
    </row>
    <row r="17" spans="2:7" ht="12.75">
      <c r="B17" s="2">
        <v>4</v>
      </c>
      <c r="C17" s="47">
        <f t="shared" si="2"/>
        <v>200000</v>
      </c>
      <c r="D17" s="47">
        <f>C17*'229'!$C$7</f>
        <v>20000</v>
      </c>
      <c r="E17" s="47">
        <f>IF(B17&lt;='229'!$C$6,0,'229'!$C$4*'229'!$C$8)</f>
        <v>50000</v>
      </c>
      <c r="F17" s="47">
        <f t="shared" si="0"/>
        <v>70000</v>
      </c>
      <c r="G17" s="47">
        <f t="shared" si="1"/>
        <v>150000</v>
      </c>
    </row>
    <row r="18" spans="2:7" ht="12.75">
      <c r="B18" s="2">
        <v>5</v>
      </c>
      <c r="C18" s="47">
        <f t="shared" si="2"/>
        <v>150000</v>
      </c>
      <c r="D18" s="47">
        <f>C18*'229'!$C$7</f>
        <v>15000</v>
      </c>
      <c r="E18" s="47">
        <f>IF(B18&lt;='229'!$C$6,0,'229'!$C$4*'229'!$C$8)</f>
        <v>50000</v>
      </c>
      <c r="F18" s="47">
        <f t="shared" si="0"/>
        <v>65000</v>
      </c>
      <c r="G18" s="47">
        <f t="shared" si="1"/>
        <v>100000</v>
      </c>
    </row>
    <row r="19" spans="2:7" ht="12.75">
      <c r="B19" s="2">
        <v>6</v>
      </c>
      <c r="C19" s="47">
        <f t="shared" si="2"/>
        <v>100000</v>
      </c>
      <c r="D19" s="47">
        <f>C19*'229'!$C$7</f>
        <v>10000</v>
      </c>
      <c r="E19" s="47">
        <f>IF(B19&lt;='229'!$C$6,0,'229'!$C$4*'229'!$C$8)</f>
        <v>50000</v>
      </c>
      <c r="F19" s="47">
        <f t="shared" si="0"/>
        <v>60000</v>
      </c>
      <c r="G19" s="47">
        <f t="shared" si="1"/>
        <v>50000</v>
      </c>
    </row>
    <row r="20" spans="2:7" ht="12.75">
      <c r="B20" s="2">
        <v>7</v>
      </c>
      <c r="C20" s="47">
        <f t="shared" si="2"/>
        <v>50000</v>
      </c>
      <c r="D20" s="47">
        <f>C20*'229'!$C$7</f>
        <v>5000</v>
      </c>
      <c r="E20" s="47">
        <f>IF(B20&lt;='229'!$C$6,0,'229'!$C$4*'229'!$C$8)</f>
        <v>50000</v>
      </c>
      <c r="F20" s="47">
        <f t="shared" si="0"/>
        <v>55000</v>
      </c>
      <c r="G20" s="47">
        <f t="shared" si="1"/>
        <v>0</v>
      </c>
    </row>
    <row r="21" spans="2:7" ht="12.75">
      <c r="B21" s="2"/>
      <c r="C21" s="47"/>
      <c r="D21" s="47"/>
      <c r="E21" s="47"/>
      <c r="F21" s="47"/>
      <c r="G21" s="47"/>
    </row>
    <row r="22" spans="2:7" ht="12.75">
      <c r="B22" s="2" t="s">
        <v>251</v>
      </c>
      <c r="C22" s="47"/>
      <c r="D22" s="47">
        <f>SUM(D14:D20)</f>
        <v>125000</v>
      </c>
      <c r="E22" s="47">
        <f>SUM(E14:E20)</f>
        <v>250000</v>
      </c>
      <c r="F22" s="47">
        <f>SUM(F14:F20)</f>
        <v>375000</v>
      </c>
      <c r="G22" s="4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J30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3" spans="1:10" ht="12.7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</row>
    <row r="14" ht="12.75">
      <c r="A14" t="s">
        <v>45</v>
      </c>
    </row>
    <row r="15" ht="12.75">
      <c r="A15" t="s">
        <v>46</v>
      </c>
    </row>
    <row r="16" spans="1:4" ht="12.75">
      <c r="A16" t="s">
        <v>51</v>
      </c>
      <c r="D16" t="s">
        <v>50</v>
      </c>
    </row>
    <row r="17" spans="1:4" ht="12.75">
      <c r="A17" t="s">
        <v>52</v>
      </c>
      <c r="D17" s="141" t="s">
        <v>58</v>
      </c>
    </row>
    <row r="18" spans="1:4" ht="12.75">
      <c r="A18" t="s">
        <v>53</v>
      </c>
      <c r="D18" s="141" t="s">
        <v>59</v>
      </c>
    </row>
    <row r="19" spans="1:4" ht="12.75">
      <c r="A19" t="s">
        <v>54</v>
      </c>
      <c r="D19" s="142" t="s">
        <v>60</v>
      </c>
    </row>
    <row r="20" ht="12.75">
      <c r="D20" t="s">
        <v>47</v>
      </c>
    </row>
    <row r="21" ht="12.75">
      <c r="A21" t="s">
        <v>48</v>
      </c>
    </row>
    <row r="22" ht="12.75">
      <c r="A22" t="s">
        <v>49</v>
      </c>
    </row>
    <row r="27" spans="1:8" ht="12.75">
      <c r="A27" s="2" t="s">
        <v>16</v>
      </c>
      <c r="B27" s="2"/>
      <c r="C27" s="2"/>
      <c r="D27" s="2"/>
      <c r="E27" s="2"/>
      <c r="F27" s="2"/>
      <c r="G27" s="2"/>
      <c r="H27" s="2"/>
    </row>
    <row r="28" ht="12.75">
      <c r="A28" t="s">
        <v>55</v>
      </c>
    </row>
    <row r="29" ht="12.75">
      <c r="A29" t="s">
        <v>56</v>
      </c>
    </row>
    <row r="30" ht="12.75">
      <c r="A30" t="s">
        <v>57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abelle115"/>
  <dimension ref="B4:G2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3.00390625" style="0" bestFit="1" customWidth="1"/>
    <col min="3" max="3" width="18.00390625" style="0" customWidth="1"/>
    <col min="7" max="7" width="18.28125" style="0" customWidth="1"/>
  </cols>
  <sheetData>
    <row r="4" spans="2:4" ht="12.75">
      <c r="B4" s="3" t="s">
        <v>297</v>
      </c>
      <c r="C4" s="27">
        <v>250000</v>
      </c>
      <c r="D4" s="3" t="s">
        <v>106</v>
      </c>
    </row>
    <row r="5" spans="2:3" ht="12.75">
      <c r="B5" s="3" t="s">
        <v>142</v>
      </c>
      <c r="C5" s="3">
        <v>7</v>
      </c>
    </row>
    <row r="6" spans="2:3" ht="12.75">
      <c r="B6" s="3" t="s">
        <v>300</v>
      </c>
      <c r="C6" s="20">
        <v>0.1</v>
      </c>
    </row>
    <row r="10" spans="2:7" ht="38.25">
      <c r="B10" s="56" t="s">
        <v>138</v>
      </c>
      <c r="C10" s="56" t="s">
        <v>529</v>
      </c>
      <c r="D10" s="56" t="s">
        <v>497</v>
      </c>
      <c r="E10" s="56" t="s">
        <v>530</v>
      </c>
      <c r="F10" s="56" t="s">
        <v>531</v>
      </c>
      <c r="G10" s="56" t="s">
        <v>532</v>
      </c>
    </row>
    <row r="11" spans="2:7" ht="12.75">
      <c r="B11" s="2"/>
      <c r="C11" s="2"/>
      <c r="D11" s="2"/>
      <c r="E11" s="2"/>
      <c r="F11" s="2"/>
      <c r="G11" s="2"/>
    </row>
    <row r="12" spans="2:7" ht="12.75">
      <c r="B12" s="2">
        <v>1</v>
      </c>
      <c r="C12" s="21">
        <f>'231-1'!$C$4</f>
        <v>250000</v>
      </c>
      <c r="D12" s="21">
        <f>C12*'231-1'!$C$6</f>
        <v>25000</v>
      </c>
      <c r="E12" s="21">
        <f>F12-D12</f>
        <v>26351.374925148935</v>
      </c>
      <c r="F12" s="21">
        <f>'231-1'!$C$4*((1+'231-1'!$C$6)^'231-1'!$C$5)*(((1+'231-1'!$C$6)-1)/(((1+'231-1'!$C$6)^'231-1'!$C$5)-1))</f>
        <v>51351.374925148935</v>
      </c>
      <c r="G12" s="21">
        <f aca="true" t="shared" si="0" ref="G12:G18">C12-E12</f>
        <v>223648.62507485106</v>
      </c>
    </row>
    <row r="13" spans="2:7" ht="12.75">
      <c r="B13" s="2">
        <v>2</v>
      </c>
      <c r="C13" s="21">
        <f aca="true" t="shared" si="1" ref="C13:C18">G12</f>
        <v>223648.62507485106</v>
      </c>
      <c r="D13" s="21">
        <f>C13*'231-1'!$C$6</f>
        <v>22364.862507485108</v>
      </c>
      <c r="E13" s="21">
        <f aca="true" t="shared" si="2" ref="E13:E18">F13-D13</f>
        <v>28986.512417663827</v>
      </c>
      <c r="F13" s="21">
        <f>'231-1'!$C$4*((1+'231-1'!$C$6)^'231-1'!$C$5)*(((1+'231-1'!$C$6)-1)/(((1+'231-1'!$C$6)^'231-1'!$C$5)-1))</f>
        <v>51351.374925148935</v>
      </c>
      <c r="G13" s="21">
        <f t="shared" si="0"/>
        <v>194662.11265718724</v>
      </c>
    </row>
    <row r="14" spans="2:7" ht="12.75">
      <c r="B14" s="2">
        <v>3</v>
      </c>
      <c r="C14" s="21">
        <f t="shared" si="1"/>
        <v>194662.11265718724</v>
      </c>
      <c r="D14" s="21">
        <f>C14*'231-1'!$C$6</f>
        <v>19466.211265718724</v>
      </c>
      <c r="E14" s="21">
        <f t="shared" si="2"/>
        <v>31885.16365943021</v>
      </c>
      <c r="F14" s="21">
        <f>'231-1'!$C$4*((1+'231-1'!$C$6)^'231-1'!$C$5)*(((1+'231-1'!$C$6)-1)/(((1+'231-1'!$C$6)^'231-1'!$C$5)-1))</f>
        <v>51351.374925148935</v>
      </c>
      <c r="G14" s="21">
        <f t="shared" si="0"/>
        <v>162776.94899775705</v>
      </c>
    </row>
    <row r="15" spans="2:7" ht="12.75">
      <c r="B15" s="2">
        <v>4</v>
      </c>
      <c r="C15" s="21">
        <f t="shared" si="1"/>
        <v>162776.94899775705</v>
      </c>
      <c r="D15" s="21">
        <f>C15*'231-1'!$C$6</f>
        <v>16277.694899775706</v>
      </c>
      <c r="E15" s="21">
        <f t="shared" si="2"/>
        <v>35073.68002537323</v>
      </c>
      <c r="F15" s="21">
        <f>'231-1'!$C$4*((1+'231-1'!$C$6)^'231-1'!$C$5)*(((1+'231-1'!$C$6)-1)/(((1+'231-1'!$C$6)^'231-1'!$C$5)-1))</f>
        <v>51351.374925148935</v>
      </c>
      <c r="G15" s="21">
        <f t="shared" si="0"/>
        <v>127703.26897238381</v>
      </c>
    </row>
    <row r="16" spans="2:7" ht="12.75">
      <c r="B16" s="2">
        <v>5</v>
      </c>
      <c r="C16" s="21">
        <f t="shared" si="1"/>
        <v>127703.26897238381</v>
      </c>
      <c r="D16" s="21">
        <f>C16*'231-1'!$C$6</f>
        <v>12770.326897238381</v>
      </c>
      <c r="E16" s="21">
        <f t="shared" si="2"/>
        <v>38581.048027910554</v>
      </c>
      <c r="F16" s="21">
        <f>'231-1'!$C$4*((1+'231-1'!$C$6)^'231-1'!$C$5)*(((1+'231-1'!$C$6)-1)/(((1+'231-1'!$C$6)^'231-1'!$C$5)-1))</f>
        <v>51351.374925148935</v>
      </c>
      <c r="G16" s="21">
        <f t="shared" si="0"/>
        <v>89122.22094447326</v>
      </c>
    </row>
    <row r="17" spans="2:7" ht="12.75">
      <c r="B17" s="2">
        <v>6</v>
      </c>
      <c r="C17" s="21">
        <f t="shared" si="1"/>
        <v>89122.22094447326</v>
      </c>
      <c r="D17" s="21">
        <f>C17*'231-1'!$C$6</f>
        <v>8912.222094447327</v>
      </c>
      <c r="E17" s="21">
        <f t="shared" si="2"/>
        <v>42439.15283070161</v>
      </c>
      <c r="F17" s="21">
        <f>'231-1'!$C$4*((1+'231-1'!$C$6)^'231-1'!$C$5)*(((1+'231-1'!$C$6)-1)/(((1+'231-1'!$C$6)^'231-1'!$C$5)-1))</f>
        <v>51351.374925148935</v>
      </c>
      <c r="G17" s="21">
        <f t="shared" si="0"/>
        <v>46683.068113771646</v>
      </c>
    </row>
    <row r="18" spans="2:7" ht="12.75">
      <c r="B18" s="2">
        <v>7</v>
      </c>
      <c r="C18" s="21">
        <f t="shared" si="1"/>
        <v>46683.068113771646</v>
      </c>
      <c r="D18" s="21">
        <f>C18*'231-1'!$C$6</f>
        <v>4668.306811377165</v>
      </c>
      <c r="E18" s="21">
        <f t="shared" si="2"/>
        <v>46683.06811377177</v>
      </c>
      <c r="F18" s="21">
        <f>'231-1'!$C$4*((1+'231-1'!$C$6)^'231-1'!$C$5)*(((1+'231-1'!$C$6)-1)/(((1+'231-1'!$C$6)^'231-1'!$C$5)-1))</f>
        <v>51351.374925148935</v>
      </c>
      <c r="G18" s="21">
        <f t="shared" si="0"/>
        <v>-1.2369127944111824E-10</v>
      </c>
    </row>
    <row r="19" spans="2:7" ht="12.75">
      <c r="B19" s="2"/>
      <c r="C19" s="47"/>
      <c r="D19" s="47"/>
      <c r="E19" s="47"/>
      <c r="F19" s="47"/>
      <c r="G19" s="47"/>
    </row>
    <row r="20" spans="2:7" ht="12.75">
      <c r="B20" s="2" t="s">
        <v>251</v>
      </c>
      <c r="C20" s="47"/>
      <c r="D20" s="21">
        <f>SUM(D12:D18)</f>
        <v>109459.62447604239</v>
      </c>
      <c r="E20" s="21">
        <f>SUM(E12:E18)</f>
        <v>250000.00000000015</v>
      </c>
      <c r="F20" s="21">
        <f>SUM(F12:F18)</f>
        <v>359459.6244760426</v>
      </c>
      <c r="G20" s="47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Tabelle44"/>
  <dimension ref="A2:J5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abelle116"/>
  <dimension ref="B4:D2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42.8515625" style="0" customWidth="1"/>
  </cols>
  <sheetData>
    <row r="4" spans="2:3" ht="12.75">
      <c r="B4" s="3" t="s">
        <v>495</v>
      </c>
      <c r="C4" s="3"/>
    </row>
    <row r="5" spans="2:3" ht="12.75">
      <c r="B5" s="3" t="s">
        <v>141</v>
      </c>
      <c r="C5" s="20">
        <v>0.1</v>
      </c>
    </row>
    <row r="6" spans="2:3" ht="12.75">
      <c r="B6" s="3" t="s">
        <v>144</v>
      </c>
      <c r="C6" s="28">
        <v>0.075</v>
      </c>
    </row>
    <row r="7" spans="2:3" ht="12.75">
      <c r="B7" s="3"/>
      <c r="C7" s="3"/>
    </row>
    <row r="8" spans="2:3" ht="12.75">
      <c r="B8" s="3" t="s">
        <v>146</v>
      </c>
      <c r="C8" s="3"/>
    </row>
    <row r="9" spans="2:3" ht="12.75">
      <c r="B9" s="3" t="s">
        <v>141</v>
      </c>
      <c r="C9" s="20">
        <v>0.1</v>
      </c>
    </row>
    <row r="10" spans="2:3" ht="12.75">
      <c r="B10" s="3" t="s">
        <v>330</v>
      </c>
      <c r="C10" s="3">
        <v>8</v>
      </c>
    </row>
    <row r="12" spans="2:4" ht="12.75">
      <c r="B12" s="3" t="s">
        <v>302</v>
      </c>
      <c r="C12" s="27">
        <v>100000</v>
      </c>
      <c r="D12" s="3" t="s">
        <v>106</v>
      </c>
    </row>
    <row r="13" ht="12.75">
      <c r="D13" s="3"/>
    </row>
    <row r="14" spans="2:4" ht="12.75">
      <c r="B14" s="3" t="s">
        <v>301</v>
      </c>
      <c r="C14" s="27">
        <v>17500</v>
      </c>
      <c r="D14" s="3" t="s">
        <v>106</v>
      </c>
    </row>
    <row r="18" spans="2:4" ht="12.75">
      <c r="B18" s="2" t="s">
        <v>495</v>
      </c>
      <c r="C18" s="90">
        <f>(LN((('232'!$C$5+'232'!$C$6)/'232'!$C$6))/(LN((1+'232'!$C$5))))</f>
        <v>8.889898876769882</v>
      </c>
      <c r="D18" s="2" t="s">
        <v>145</v>
      </c>
    </row>
    <row r="19" spans="2:4" ht="12.75">
      <c r="B19" s="2"/>
      <c r="C19" s="2"/>
      <c r="D19" s="2"/>
    </row>
    <row r="20" spans="2:4" ht="12.75">
      <c r="B20" s="2" t="s">
        <v>146</v>
      </c>
      <c r="C20" s="2">
        <f>((((1+'232'!$C$9)^'232'!$C$10)-1)/'232'!$C$9)*(1/((1+'232'!$C$9)^'232'!$C$10))</f>
        <v>5.334926197902668</v>
      </c>
      <c r="D20" s="2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2" t="s">
        <v>302</v>
      </c>
      <c r="C23" s="21">
        <f>'232'!$C$12</f>
        <v>100000</v>
      </c>
      <c r="D23" s="2" t="s">
        <v>106</v>
      </c>
    </row>
    <row r="24" spans="2:4" ht="12.75">
      <c r="B24" s="91" t="s">
        <v>303</v>
      </c>
      <c r="C24" s="21">
        <f>'232'!$C$14*$C$20</f>
        <v>93361.20846329669</v>
      </c>
      <c r="D24" s="2" t="s">
        <v>106</v>
      </c>
    </row>
    <row r="25" spans="2:4" ht="12.75">
      <c r="B25" s="2"/>
      <c r="C25" s="21"/>
      <c r="D25" s="2"/>
    </row>
    <row r="26" spans="2:4" ht="12.75">
      <c r="B26" s="2" t="s">
        <v>304</v>
      </c>
      <c r="C26" s="21">
        <f>C23-C24</f>
        <v>6638.791536703313</v>
      </c>
      <c r="D26" s="2" t="s">
        <v>106</v>
      </c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 t="s">
        <v>305</v>
      </c>
      <c r="C29" s="21">
        <f>$C$26*((1+'232'!$C$9)^(ROUNDUP($C$18,0)))</f>
        <v>15653.923174999927</v>
      </c>
      <c r="D29" s="2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Tabelle117"/>
  <dimension ref="B4:G23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3" width="16.57421875" style="0" customWidth="1"/>
    <col min="7" max="7" width="17.00390625" style="0" customWidth="1"/>
  </cols>
  <sheetData>
    <row r="4" spans="2:4" ht="12.75">
      <c r="B4" s="3" t="s">
        <v>297</v>
      </c>
      <c r="C4" s="27">
        <v>100000</v>
      </c>
      <c r="D4" s="3" t="s">
        <v>106</v>
      </c>
    </row>
    <row r="5" spans="2:3" ht="12.75">
      <c r="B5" s="3" t="s">
        <v>142</v>
      </c>
      <c r="C5" s="3">
        <v>9</v>
      </c>
    </row>
    <row r="6" spans="2:3" ht="12.75">
      <c r="B6" s="3" t="s">
        <v>300</v>
      </c>
      <c r="C6" s="20">
        <v>0.1</v>
      </c>
    </row>
    <row r="7" spans="2:3" ht="12.75">
      <c r="B7" s="3" t="s">
        <v>306</v>
      </c>
      <c r="C7" s="42">
        <v>0.075</v>
      </c>
    </row>
    <row r="11" spans="2:7" ht="51">
      <c r="B11" s="56" t="s">
        <v>138</v>
      </c>
      <c r="C11" s="56" t="s">
        <v>529</v>
      </c>
      <c r="D11" s="56" t="s">
        <v>497</v>
      </c>
      <c r="E11" s="56" t="s">
        <v>530</v>
      </c>
      <c r="F11" s="56" t="s">
        <v>531</v>
      </c>
      <c r="G11" s="56" t="s">
        <v>532</v>
      </c>
    </row>
    <row r="12" spans="2:7" ht="12.75">
      <c r="B12" s="2"/>
      <c r="C12" s="2"/>
      <c r="D12" s="2"/>
      <c r="E12" s="2"/>
      <c r="F12" s="2"/>
      <c r="G12" s="2"/>
    </row>
    <row r="13" spans="2:7" ht="12.75">
      <c r="B13" s="2">
        <v>1</v>
      </c>
      <c r="C13" s="21">
        <f>'233'!$C$4</f>
        <v>100000</v>
      </c>
      <c r="D13" s="21">
        <f>C13*'233'!$C$6</f>
        <v>10000</v>
      </c>
      <c r="E13" s="21">
        <f>C13*'233'!$C$7</f>
        <v>7500</v>
      </c>
      <c r="F13" s="21">
        <f>D13+E13</f>
        <v>17500</v>
      </c>
      <c r="G13" s="21">
        <f>C13-E13</f>
        <v>92500</v>
      </c>
    </row>
    <row r="14" spans="2:7" ht="12.75">
      <c r="B14" s="2">
        <v>2</v>
      </c>
      <c r="C14" s="21">
        <f>G13</f>
        <v>92500</v>
      </c>
      <c r="D14" s="21">
        <f>C14*'233'!$C$6</f>
        <v>9250</v>
      </c>
      <c r="E14" s="21">
        <f>F14-D14</f>
        <v>8250</v>
      </c>
      <c r="F14" s="21">
        <f>F13</f>
        <v>17500</v>
      </c>
      <c r="G14" s="21">
        <f>C14-E14</f>
        <v>84250</v>
      </c>
    </row>
    <row r="15" spans="2:7" ht="12.75">
      <c r="B15" s="2">
        <v>3</v>
      </c>
      <c r="C15" s="21">
        <f aca="true" t="shared" si="0" ref="C15:C21">G14</f>
        <v>84250</v>
      </c>
      <c r="D15" s="21">
        <f>C15*'233'!$C$6</f>
        <v>8425</v>
      </c>
      <c r="E15" s="21">
        <f aca="true" t="shared" si="1" ref="E15:E21">F15-D15</f>
        <v>9075</v>
      </c>
      <c r="F15" s="21">
        <f aca="true" t="shared" si="2" ref="F15:F20">F14</f>
        <v>17500</v>
      </c>
      <c r="G15" s="21">
        <f aca="true" t="shared" si="3" ref="G15:G21">C15-E15</f>
        <v>75175</v>
      </c>
    </row>
    <row r="16" spans="2:7" ht="12.75">
      <c r="B16" s="2">
        <v>4</v>
      </c>
      <c r="C16" s="21">
        <f t="shared" si="0"/>
        <v>75175</v>
      </c>
      <c r="D16" s="21">
        <f>C16*'233'!$C$6</f>
        <v>7517.5</v>
      </c>
      <c r="E16" s="21">
        <f t="shared" si="1"/>
        <v>9982.5</v>
      </c>
      <c r="F16" s="21">
        <f t="shared" si="2"/>
        <v>17500</v>
      </c>
      <c r="G16" s="21">
        <f t="shared" si="3"/>
        <v>65192.5</v>
      </c>
    </row>
    <row r="17" spans="2:7" ht="12.75">
      <c r="B17" s="2">
        <v>5</v>
      </c>
      <c r="C17" s="21">
        <f t="shared" si="0"/>
        <v>65192.5</v>
      </c>
      <c r="D17" s="21">
        <f>C17*'233'!$C$6</f>
        <v>6519.25</v>
      </c>
      <c r="E17" s="21">
        <f t="shared" si="1"/>
        <v>10980.75</v>
      </c>
      <c r="F17" s="21">
        <f t="shared" si="2"/>
        <v>17500</v>
      </c>
      <c r="G17" s="21">
        <f t="shared" si="3"/>
        <v>54211.75</v>
      </c>
    </row>
    <row r="18" spans="2:7" ht="12.75">
      <c r="B18" s="2">
        <v>6</v>
      </c>
      <c r="C18" s="21">
        <f t="shared" si="0"/>
        <v>54211.75</v>
      </c>
      <c r="D18" s="21">
        <f>C18*'233'!$C$6</f>
        <v>5421.175</v>
      </c>
      <c r="E18" s="21">
        <f t="shared" si="1"/>
        <v>12078.825</v>
      </c>
      <c r="F18" s="21">
        <f t="shared" si="2"/>
        <v>17500</v>
      </c>
      <c r="G18" s="21">
        <f t="shared" si="3"/>
        <v>42132.925</v>
      </c>
    </row>
    <row r="19" spans="2:7" ht="12.75">
      <c r="B19" s="2">
        <v>7</v>
      </c>
      <c r="C19" s="21">
        <f t="shared" si="0"/>
        <v>42132.925</v>
      </c>
      <c r="D19" s="21">
        <f>C19*'233'!$C$6</f>
        <v>4213.2925000000005</v>
      </c>
      <c r="E19" s="21">
        <f t="shared" si="1"/>
        <v>13286.7075</v>
      </c>
      <c r="F19" s="21">
        <f t="shared" si="2"/>
        <v>17500</v>
      </c>
      <c r="G19" s="21">
        <f t="shared" si="3"/>
        <v>28846.217500000002</v>
      </c>
    </row>
    <row r="20" spans="2:7" ht="12.75">
      <c r="B20" s="2">
        <v>8</v>
      </c>
      <c r="C20" s="21">
        <f t="shared" si="0"/>
        <v>28846.217500000002</v>
      </c>
      <c r="D20" s="21">
        <f>C20*'233'!$C$6</f>
        <v>2884.6217500000002</v>
      </c>
      <c r="E20" s="21">
        <f t="shared" si="1"/>
        <v>14615.37825</v>
      </c>
      <c r="F20" s="21">
        <f t="shared" si="2"/>
        <v>17500</v>
      </c>
      <c r="G20" s="21">
        <f t="shared" si="3"/>
        <v>14230.839250000003</v>
      </c>
    </row>
    <row r="21" spans="2:7" ht="12.75">
      <c r="B21" s="2">
        <v>9</v>
      </c>
      <c r="C21" s="21">
        <f t="shared" si="0"/>
        <v>14230.839250000003</v>
      </c>
      <c r="D21" s="21">
        <f>C21*'233'!$C$6</f>
        <v>1423.0839250000004</v>
      </c>
      <c r="E21" s="21">
        <f t="shared" si="1"/>
        <v>14230.839250000003</v>
      </c>
      <c r="F21" s="21">
        <f>C21+D21</f>
        <v>15653.923175000004</v>
      </c>
      <c r="G21" s="21">
        <f t="shared" si="3"/>
        <v>0</v>
      </c>
    </row>
    <row r="22" spans="2:7" ht="12.75">
      <c r="B22" s="2"/>
      <c r="C22" s="47"/>
      <c r="D22" s="47"/>
      <c r="E22" s="47"/>
      <c r="F22" s="47"/>
      <c r="G22" s="47"/>
    </row>
    <row r="23" spans="2:7" ht="12.75">
      <c r="B23" s="2" t="s">
        <v>251</v>
      </c>
      <c r="C23" s="47"/>
      <c r="D23" s="21">
        <f>SUM(D13:D21)</f>
        <v>55653.923175</v>
      </c>
      <c r="E23" s="21">
        <f>SUM(E13:E21)</f>
        <v>100000</v>
      </c>
      <c r="F23" s="21">
        <f>SUM(F13:F21)</f>
        <v>155653.923175</v>
      </c>
      <c r="G23" s="47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abelle118"/>
  <dimension ref="B4:C1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6.28125" style="0" customWidth="1"/>
  </cols>
  <sheetData>
    <row r="4" spans="2:3" ht="12.75">
      <c r="B4" s="3" t="s">
        <v>142</v>
      </c>
      <c r="C4" s="3">
        <v>7</v>
      </c>
    </row>
    <row r="5" spans="2:3" ht="12.75">
      <c r="B5" s="3" t="s">
        <v>307</v>
      </c>
      <c r="C5" s="20">
        <v>0.1</v>
      </c>
    </row>
    <row r="6" spans="2:3" ht="12.75">
      <c r="B6" s="3" t="s">
        <v>308</v>
      </c>
      <c r="C6" s="20">
        <v>0.03</v>
      </c>
    </row>
    <row r="10" spans="2:3" ht="12.75">
      <c r="B10" s="2" t="s">
        <v>309</v>
      </c>
      <c r="C10" s="22">
        <f>('234'!$C$5*100+('234'!$C$6*100/'234'!$C$4))/(100-'234'!$C$6*100)</f>
        <v>0.10751104565537556</v>
      </c>
    </row>
  </sheetData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Tabelle119"/>
  <dimension ref="B4:G2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5.00390625" style="0" bestFit="1" customWidth="1"/>
    <col min="3" max="3" width="18.140625" style="0" customWidth="1"/>
    <col min="7" max="7" width="17.421875" style="0" customWidth="1"/>
  </cols>
  <sheetData>
    <row r="4" spans="2:3" ht="12.75">
      <c r="B4" s="3" t="s">
        <v>141</v>
      </c>
      <c r="C4" s="43">
        <v>0.1093332</v>
      </c>
    </row>
    <row r="5" spans="2:3" ht="12.75">
      <c r="B5" s="3" t="s">
        <v>142</v>
      </c>
      <c r="C5" s="3">
        <v>7</v>
      </c>
    </row>
    <row r="6" spans="2:4" ht="12.75">
      <c r="B6" s="3" t="s">
        <v>143</v>
      </c>
      <c r="C6" s="27">
        <v>250000</v>
      </c>
      <c r="D6" s="3" t="s">
        <v>106</v>
      </c>
    </row>
    <row r="7" spans="2:4" ht="12.75">
      <c r="B7" s="3" t="s">
        <v>308</v>
      </c>
      <c r="C7" s="20">
        <v>0.03</v>
      </c>
      <c r="D7" s="3"/>
    </row>
    <row r="11" spans="2:7" ht="38.25">
      <c r="B11" s="56" t="s">
        <v>138</v>
      </c>
      <c r="C11" s="56" t="s">
        <v>529</v>
      </c>
      <c r="D11" s="56" t="s">
        <v>497</v>
      </c>
      <c r="E11" s="56" t="s">
        <v>531</v>
      </c>
      <c r="F11" s="56" t="s">
        <v>530</v>
      </c>
      <c r="G11" s="56" t="s">
        <v>532</v>
      </c>
    </row>
    <row r="12" spans="2:7" ht="12.75">
      <c r="B12" s="2"/>
      <c r="C12" s="2"/>
      <c r="D12" s="2"/>
      <c r="E12" s="2"/>
      <c r="F12" s="2"/>
      <c r="G12" s="2"/>
    </row>
    <row r="13" spans="2:7" ht="12.75">
      <c r="B13" s="39">
        <v>1</v>
      </c>
      <c r="C13" s="21">
        <f>'235'!$C$6*(100%-'235'!$C$7)</f>
        <v>242500</v>
      </c>
      <c r="D13" s="21">
        <f>C13*'235'!$C$4</f>
        <v>26513.301000000003</v>
      </c>
      <c r="E13" s="21">
        <f>$C$13*((1+'235'!$C$4)^'235'!$C$5)*(((1+'235'!$C$4)-1)/(((1+'235'!$C$4)^'235'!$C$5)-1))</f>
        <v>51351.38445391846</v>
      </c>
      <c r="F13" s="21">
        <f>E13-D13</f>
        <v>24838.083453918454</v>
      </c>
      <c r="G13" s="21">
        <f>C13-F13</f>
        <v>217661.91654608154</v>
      </c>
    </row>
    <row r="14" spans="2:7" ht="12.75">
      <c r="B14" s="39">
        <v>2</v>
      </c>
      <c r="C14" s="21">
        <f aca="true" t="shared" si="0" ref="C14:C19">G13</f>
        <v>217661.91654608154</v>
      </c>
      <c r="D14" s="21">
        <f>C14*'235'!$C$4</f>
        <v>23797.673854116045</v>
      </c>
      <c r="E14" s="21">
        <f>$C$13*((1+'235'!$C$4)^'235'!$C$5)*(((1+'235'!$C$4)-1)/(((1+'235'!$C$4)^'235'!$C$5)-1))</f>
        <v>51351.38445391846</v>
      </c>
      <c r="F14" s="21">
        <f aca="true" t="shared" si="1" ref="F14:F19">E14-D14</f>
        <v>27553.710599802413</v>
      </c>
      <c r="G14" s="21">
        <f aca="true" t="shared" si="2" ref="G14:G19">C14-F14</f>
        <v>190108.20594627914</v>
      </c>
    </row>
    <row r="15" spans="2:7" ht="12.75">
      <c r="B15" s="39">
        <v>3</v>
      </c>
      <c r="C15" s="21">
        <f t="shared" si="0"/>
        <v>190108.20594627914</v>
      </c>
      <c r="D15" s="21">
        <f>C15*'235'!$C$4</f>
        <v>20785.138502365728</v>
      </c>
      <c r="E15" s="21">
        <f>$C$13*((1+'235'!$C$4)^'235'!$C$5)*(((1+'235'!$C$4)-1)/(((1+'235'!$C$4)^'235'!$C$5)-1))</f>
        <v>51351.38445391846</v>
      </c>
      <c r="F15" s="21">
        <f t="shared" si="1"/>
        <v>30566.24595155273</v>
      </c>
      <c r="G15" s="21">
        <f t="shared" si="2"/>
        <v>159541.9599947264</v>
      </c>
    </row>
    <row r="16" spans="2:7" ht="12.75">
      <c r="B16" s="39">
        <v>4</v>
      </c>
      <c r="C16" s="21">
        <f t="shared" si="0"/>
        <v>159541.9599947264</v>
      </c>
      <c r="D16" s="21">
        <f>C16*'235'!$C$4</f>
        <v>17443.233020495423</v>
      </c>
      <c r="E16" s="21">
        <f>$C$13*((1+'235'!$C$4)^'235'!$C$5)*(((1+'235'!$C$4)-1)/(((1+'235'!$C$4)^'235'!$C$5)-1))</f>
        <v>51351.38445391846</v>
      </c>
      <c r="F16" s="21">
        <f t="shared" si="1"/>
        <v>33908.15143342303</v>
      </c>
      <c r="G16" s="21">
        <f t="shared" si="2"/>
        <v>125633.80856130338</v>
      </c>
    </row>
    <row r="17" spans="2:7" ht="12.75">
      <c r="B17" s="39">
        <v>5</v>
      </c>
      <c r="C17" s="21">
        <f t="shared" si="0"/>
        <v>125633.80856130338</v>
      </c>
      <c r="D17" s="21">
        <f>C17*'235'!$C$4</f>
        <v>13735.946318194696</v>
      </c>
      <c r="E17" s="21">
        <f>$C$13*((1+'235'!$C$4)^'235'!$C$5)*(((1+'235'!$C$4)-1)/(((1+'235'!$C$4)^'235'!$C$5)-1))</f>
        <v>51351.38445391846</v>
      </c>
      <c r="F17" s="21">
        <f t="shared" si="1"/>
        <v>37615.43813572376</v>
      </c>
      <c r="G17" s="21">
        <f t="shared" si="2"/>
        <v>88018.37042557962</v>
      </c>
    </row>
    <row r="18" spans="2:7" ht="12.75">
      <c r="B18" s="39">
        <v>6</v>
      </c>
      <c r="C18" s="21">
        <f t="shared" si="0"/>
        <v>88018.37042557962</v>
      </c>
      <c r="D18" s="21">
        <f>C18*'235'!$C$4</f>
        <v>9623.330097413982</v>
      </c>
      <c r="E18" s="21">
        <f>$C$13*((1+'235'!$C$4)^'235'!$C$5)*(((1+'235'!$C$4)-1)/(((1+'235'!$C$4)^'235'!$C$5)-1))</f>
        <v>51351.38445391846</v>
      </c>
      <c r="F18" s="21">
        <f t="shared" si="1"/>
        <v>41728.05435650448</v>
      </c>
      <c r="G18" s="21">
        <f t="shared" si="2"/>
        <v>46290.31606907514</v>
      </c>
    </row>
    <row r="19" spans="2:7" ht="12.75">
      <c r="B19" s="39">
        <v>7</v>
      </c>
      <c r="C19" s="21">
        <f t="shared" si="0"/>
        <v>46290.31606907514</v>
      </c>
      <c r="D19" s="21">
        <f>C19*'235'!$C$4</f>
        <v>5061.068384843406</v>
      </c>
      <c r="E19" s="21">
        <f>$C$13*((1+'235'!$C$4)^'235'!$C$5)*(((1+'235'!$C$4)-1)/(((1+'235'!$C$4)^'235'!$C$5)-1))</f>
        <v>51351.38445391846</v>
      </c>
      <c r="F19" s="21">
        <f t="shared" si="1"/>
        <v>46290.31606907505</v>
      </c>
      <c r="G19" s="21">
        <f t="shared" si="2"/>
        <v>8.731149137020111E-11</v>
      </c>
    </row>
    <row r="20" spans="2:7" ht="12.75">
      <c r="B20" s="2"/>
      <c r="C20" s="21"/>
      <c r="D20" s="2"/>
      <c r="E20" s="2"/>
      <c r="F20" s="2"/>
      <c r="G20" s="21"/>
    </row>
    <row r="21" spans="2:7" ht="12.75">
      <c r="B21" s="39" t="s">
        <v>251</v>
      </c>
      <c r="C21" s="2"/>
      <c r="D21" s="21">
        <f>SUM(D13:D19)</f>
        <v>116959.69117742928</v>
      </c>
      <c r="E21" s="21">
        <f>SUM(E13:E19)</f>
        <v>359459.69117742917</v>
      </c>
      <c r="F21" s="21">
        <f>SUM(F13:F19)</f>
        <v>242499.9999999999</v>
      </c>
      <c r="G21" s="2"/>
    </row>
  </sheetData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Tabelle49"/>
  <dimension ref="A2:J5"/>
  <sheetViews>
    <sheetView showGridLines="0" workbookViewId="0" topLeftCell="A4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Tabelle50"/>
  <dimension ref="B4:G15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9.8515625" style="0" customWidth="1"/>
    <col min="5" max="5" width="19.7109375" style="0" customWidth="1"/>
  </cols>
  <sheetData>
    <row r="4" spans="2:6" ht="12.75">
      <c r="B4" s="3" t="s">
        <v>148</v>
      </c>
      <c r="C4" s="3">
        <v>100</v>
      </c>
      <c r="D4" s="3" t="s">
        <v>492</v>
      </c>
      <c r="E4" s="3"/>
      <c r="F4" s="3"/>
    </row>
    <row r="5" spans="2:6" ht="12.75">
      <c r="B5" s="3" t="s">
        <v>205</v>
      </c>
      <c r="C5" s="3">
        <v>30</v>
      </c>
      <c r="D5" s="3" t="s">
        <v>492</v>
      </c>
      <c r="E5" s="3"/>
      <c r="F5" s="3"/>
    </row>
    <row r="6" spans="2:6" ht="12.75">
      <c r="B6" s="3" t="s">
        <v>204</v>
      </c>
      <c r="C6" s="3">
        <f>C4-C5</f>
        <v>70</v>
      </c>
      <c r="D6" s="3" t="s">
        <v>492</v>
      </c>
      <c r="E6" s="3"/>
      <c r="F6" s="3"/>
    </row>
    <row r="7" spans="2:6" ht="12.75">
      <c r="B7" s="3" t="s">
        <v>211</v>
      </c>
      <c r="C7" s="20">
        <v>0.05</v>
      </c>
      <c r="D7" s="3"/>
      <c r="E7" s="3"/>
      <c r="F7" s="3"/>
    </row>
    <row r="8" spans="2:6" ht="12.75">
      <c r="B8" s="3" t="s">
        <v>140</v>
      </c>
      <c r="C8" s="3">
        <v>10</v>
      </c>
      <c r="D8" s="3" t="s">
        <v>492</v>
      </c>
      <c r="E8" s="3"/>
      <c r="F8" s="3"/>
    </row>
    <row r="9" spans="2:6" ht="12.75">
      <c r="B9" s="3" t="s">
        <v>534</v>
      </c>
      <c r="C9" s="3">
        <v>100</v>
      </c>
      <c r="D9" s="3" t="s">
        <v>492</v>
      </c>
      <c r="E9" s="3"/>
      <c r="F9" s="3"/>
    </row>
    <row r="10" spans="2:6" ht="12.75">
      <c r="B10" s="3"/>
      <c r="C10" s="3"/>
      <c r="D10" s="3"/>
      <c r="E10" s="3"/>
      <c r="F10" s="3"/>
    </row>
    <row r="11" spans="2:6" ht="12.75">
      <c r="B11" s="3"/>
      <c r="C11" s="3"/>
      <c r="D11" s="3"/>
      <c r="E11" s="3"/>
      <c r="F11" s="3"/>
    </row>
    <row r="12" spans="2:6" ht="12.75">
      <c r="B12" s="3"/>
      <c r="C12" s="3"/>
      <c r="D12" s="3"/>
      <c r="E12" s="3"/>
      <c r="F12" s="3"/>
    </row>
    <row r="13" spans="2:7" ht="12.75">
      <c r="B13" s="2" t="s">
        <v>139</v>
      </c>
      <c r="C13" s="2">
        <f>$C$6*$C$7</f>
        <v>3.5</v>
      </c>
      <c r="D13" s="2" t="s">
        <v>492</v>
      </c>
      <c r="E13" s="2" t="s">
        <v>537</v>
      </c>
      <c r="F13" s="31">
        <f>IRR(F14:F15)</f>
        <v>0.21666666666660087</v>
      </c>
      <c r="G13" s="17"/>
    </row>
    <row r="14" spans="2:7" ht="12.75">
      <c r="B14" s="2" t="s">
        <v>535</v>
      </c>
      <c r="C14" s="2">
        <f>$C$6-$C$8</f>
        <v>60</v>
      </c>
      <c r="D14" s="2" t="s">
        <v>492</v>
      </c>
      <c r="E14" s="2" t="s">
        <v>538</v>
      </c>
      <c r="F14" s="2">
        <f>-$C$5</f>
        <v>-30</v>
      </c>
      <c r="G14" s="2" t="s">
        <v>492</v>
      </c>
    </row>
    <row r="15" spans="2:7" ht="12.75">
      <c r="B15" s="2" t="s">
        <v>536</v>
      </c>
      <c r="C15" s="2">
        <f>$C$9-$C$14-$C$13</f>
        <v>36.5</v>
      </c>
      <c r="D15" s="2" t="s">
        <v>492</v>
      </c>
      <c r="E15" s="2" t="s">
        <v>539</v>
      </c>
      <c r="F15" s="2">
        <f>$C$15</f>
        <v>36.5</v>
      </c>
      <c r="G15" s="2" t="s">
        <v>492</v>
      </c>
    </row>
  </sheetData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abelle120"/>
  <dimension ref="B4:F15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421875" style="0" bestFit="1" customWidth="1"/>
    <col min="3" max="3" width="8.28125" style="0" customWidth="1"/>
    <col min="4" max="4" width="5.28125" style="0" customWidth="1"/>
    <col min="5" max="5" width="7.140625" style="0" customWidth="1"/>
  </cols>
  <sheetData>
    <row r="4" spans="2:4" ht="12.75">
      <c r="B4" s="3" t="s">
        <v>310</v>
      </c>
      <c r="C4" s="27">
        <v>20000</v>
      </c>
      <c r="D4" s="3" t="s">
        <v>106</v>
      </c>
    </row>
    <row r="5" spans="2:3" ht="12.75">
      <c r="B5" s="3" t="s">
        <v>311</v>
      </c>
      <c r="C5" s="3">
        <v>180</v>
      </c>
    </row>
    <row r="6" spans="2:3" ht="12.75">
      <c r="B6" s="3" t="s">
        <v>312</v>
      </c>
      <c r="C6" s="3">
        <v>45</v>
      </c>
    </row>
    <row r="7" spans="2:3" ht="12.75">
      <c r="B7" s="3" t="s">
        <v>313</v>
      </c>
      <c r="C7" s="20">
        <v>0.1</v>
      </c>
    </row>
    <row r="11" spans="2:6" ht="12.75">
      <c r="B11" s="2" t="s">
        <v>314</v>
      </c>
      <c r="C11" s="2"/>
      <c r="D11" s="2"/>
      <c r="E11" s="47">
        <f>'282'!$C$4*('282'!$C$5/360)*'282'!$C$7</f>
        <v>1000</v>
      </c>
      <c r="F11" s="2" t="s">
        <v>106</v>
      </c>
    </row>
    <row r="12" spans="2:6" ht="12.75">
      <c r="B12" s="2"/>
      <c r="C12" s="2"/>
      <c r="D12" s="2"/>
      <c r="E12" s="2"/>
      <c r="F12" s="2"/>
    </row>
    <row r="13" spans="2:6" ht="12.75">
      <c r="B13" s="91" t="s">
        <v>315</v>
      </c>
      <c r="C13" s="2">
        <f>'282'!$C$5-'282'!$C$6</f>
        <v>135</v>
      </c>
      <c r="D13" s="2" t="s">
        <v>152</v>
      </c>
      <c r="E13" s="2">
        <f>($E$11*$C$13)/'282'!$C$5</f>
        <v>750</v>
      </c>
      <c r="F13" s="2" t="s">
        <v>106</v>
      </c>
    </row>
    <row r="14" spans="2:6" ht="12.75">
      <c r="B14" s="2"/>
      <c r="C14" s="2"/>
      <c r="D14" s="2"/>
      <c r="E14" s="2"/>
      <c r="F14" s="2"/>
    </row>
    <row r="15" spans="2:6" ht="12.75">
      <c r="B15" s="2" t="s">
        <v>316</v>
      </c>
      <c r="C15" s="2"/>
      <c r="D15" s="2"/>
      <c r="E15" s="2">
        <f>E11-E13</f>
        <v>250</v>
      </c>
      <c r="F15" s="2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abelle121"/>
  <dimension ref="B4:E2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7.57421875" style="0" customWidth="1"/>
    <col min="3" max="3" width="17.8515625" style="0" customWidth="1"/>
    <col min="5" max="5" width="16.140625" style="0" customWidth="1"/>
  </cols>
  <sheetData>
    <row r="4" spans="2:4" ht="12.75">
      <c r="B4" s="3" t="s">
        <v>317</v>
      </c>
      <c r="C4" s="27">
        <v>100000</v>
      </c>
      <c r="D4" s="3" t="s">
        <v>106</v>
      </c>
    </row>
    <row r="5" spans="2:4" ht="12.75">
      <c r="B5" s="3" t="s">
        <v>318</v>
      </c>
      <c r="C5" s="3">
        <v>7</v>
      </c>
      <c r="D5" s="3"/>
    </row>
    <row r="6" spans="2:4" ht="12.75">
      <c r="B6" s="3" t="s">
        <v>141</v>
      </c>
      <c r="C6" s="28">
        <v>0.075</v>
      </c>
      <c r="D6" s="3"/>
    </row>
    <row r="7" spans="2:4" ht="12.75">
      <c r="B7" s="3" t="s">
        <v>319</v>
      </c>
      <c r="C7" s="27">
        <v>100000</v>
      </c>
      <c r="D7" s="3" t="s">
        <v>106</v>
      </c>
    </row>
    <row r="8" ht="12.75">
      <c r="D8" s="3"/>
    </row>
    <row r="11" spans="2:5" ht="12.75">
      <c r="B11" s="2"/>
      <c r="C11" s="2" t="s">
        <v>321</v>
      </c>
      <c r="D11" s="2" t="s">
        <v>322</v>
      </c>
      <c r="E11" s="2"/>
    </row>
    <row r="12" spans="2:5" ht="12.75">
      <c r="B12" s="2" t="s">
        <v>317</v>
      </c>
      <c r="C12" s="47">
        <f>'284'!$C$4</f>
        <v>100000</v>
      </c>
      <c r="D12" s="92">
        <f>D16*D15</f>
        <v>165904.9140057373</v>
      </c>
      <c r="E12" s="2" t="s">
        <v>106</v>
      </c>
    </row>
    <row r="13" spans="2:5" ht="12.75">
      <c r="B13" s="2" t="s">
        <v>318</v>
      </c>
      <c r="C13" s="2">
        <f>'284'!$C$5</f>
        <v>7</v>
      </c>
      <c r="D13" s="2">
        <f>'284'!$C$5</f>
        <v>7</v>
      </c>
      <c r="E13" s="2"/>
    </row>
    <row r="14" spans="2:5" ht="12.75">
      <c r="B14" s="2" t="s">
        <v>141</v>
      </c>
      <c r="C14" s="31">
        <f>'284'!$C$6</f>
        <v>0.075</v>
      </c>
      <c r="D14" s="31">
        <f>'284'!$C$6</f>
        <v>0.075</v>
      </c>
      <c r="E14" s="2"/>
    </row>
    <row r="15" spans="2:5" ht="12.75">
      <c r="B15" s="2" t="s">
        <v>320</v>
      </c>
      <c r="C15" s="81">
        <f>1/((1+$C$14)^$C$13)</f>
        <v>0.6027549008978832</v>
      </c>
      <c r="D15" s="18">
        <f>(1+$D$14)^$D$13</f>
        <v>1.6590491400573728</v>
      </c>
      <c r="E15" s="2"/>
    </row>
    <row r="16" spans="2:5" ht="12.75">
      <c r="B16" s="2" t="s">
        <v>319</v>
      </c>
      <c r="C16" s="19">
        <f>C12*C15</f>
        <v>60275.49008978832</v>
      </c>
      <c r="D16" s="47">
        <f>'284'!$C$7</f>
        <v>100000</v>
      </c>
      <c r="E16" s="2" t="s">
        <v>106</v>
      </c>
    </row>
    <row r="17" spans="2:5" ht="12.75">
      <c r="B17" s="2"/>
      <c r="C17" s="2"/>
      <c r="D17" s="2"/>
      <c r="E17" s="2"/>
    </row>
    <row r="18" spans="2:5" ht="38.25">
      <c r="B18" s="56" t="s">
        <v>138</v>
      </c>
      <c r="C18" s="56" t="s">
        <v>496</v>
      </c>
      <c r="D18" s="56" t="s">
        <v>497</v>
      </c>
      <c r="E18" s="56" t="s">
        <v>498</v>
      </c>
    </row>
    <row r="19" spans="2:5" ht="12.75">
      <c r="B19" s="2"/>
      <c r="C19" s="2"/>
      <c r="D19" s="2"/>
      <c r="E19" s="2"/>
    </row>
    <row r="20" spans="2:5" ht="12.75">
      <c r="B20" s="2">
        <v>1</v>
      </c>
      <c r="C20" s="93">
        <f>C16</f>
        <v>60275.49008978832</v>
      </c>
      <c r="D20" s="93">
        <f aca="true" t="shared" si="0" ref="D20:D26">C20*$C$14</f>
        <v>4520.661756734124</v>
      </c>
      <c r="E20" s="93">
        <f aca="true" t="shared" si="1" ref="E20:E26">C20+D20</f>
        <v>64796.15184652244</v>
      </c>
    </row>
    <row r="21" spans="2:5" ht="12.75">
      <c r="B21" s="2">
        <v>2</v>
      </c>
      <c r="C21" s="93">
        <f aca="true" t="shared" si="2" ref="C21:C26">E20</f>
        <v>64796.15184652244</v>
      </c>
      <c r="D21" s="93">
        <f t="shared" si="0"/>
        <v>4859.711388489183</v>
      </c>
      <c r="E21" s="93">
        <f t="shared" si="1"/>
        <v>69655.86323501162</v>
      </c>
    </row>
    <row r="22" spans="2:5" ht="12.75">
      <c r="B22" s="2">
        <v>3</v>
      </c>
      <c r="C22" s="93">
        <f t="shared" si="2"/>
        <v>69655.86323501162</v>
      </c>
      <c r="D22" s="93">
        <f t="shared" si="0"/>
        <v>5224.189742625872</v>
      </c>
      <c r="E22" s="93">
        <f t="shared" si="1"/>
        <v>74880.05297763749</v>
      </c>
    </row>
    <row r="23" spans="2:5" ht="12.75">
      <c r="B23" s="2">
        <v>4</v>
      </c>
      <c r="C23" s="93">
        <f t="shared" si="2"/>
        <v>74880.05297763749</v>
      </c>
      <c r="D23" s="93">
        <f t="shared" si="0"/>
        <v>5616.003973322811</v>
      </c>
      <c r="E23" s="93">
        <f t="shared" si="1"/>
        <v>80496.05695096031</v>
      </c>
    </row>
    <row r="24" spans="2:5" ht="12.75">
      <c r="B24" s="2">
        <v>5</v>
      </c>
      <c r="C24" s="93">
        <f t="shared" si="2"/>
        <v>80496.05695096031</v>
      </c>
      <c r="D24" s="93">
        <f t="shared" si="0"/>
        <v>6037.204271322023</v>
      </c>
      <c r="E24" s="93">
        <f t="shared" si="1"/>
        <v>86533.26122228234</v>
      </c>
    </row>
    <row r="25" spans="2:5" ht="12.75">
      <c r="B25" s="2">
        <v>6</v>
      </c>
      <c r="C25" s="93">
        <f t="shared" si="2"/>
        <v>86533.26122228234</v>
      </c>
      <c r="D25" s="93">
        <f t="shared" si="0"/>
        <v>6489.994591671175</v>
      </c>
      <c r="E25" s="93">
        <f t="shared" si="1"/>
        <v>93023.25581395351</v>
      </c>
    </row>
    <row r="26" spans="2:5" ht="12.75">
      <c r="B26" s="2">
        <v>7</v>
      </c>
      <c r="C26" s="93">
        <f t="shared" si="2"/>
        <v>93023.25581395351</v>
      </c>
      <c r="D26" s="93">
        <f t="shared" si="0"/>
        <v>6976.744186046513</v>
      </c>
      <c r="E26" s="93">
        <f t="shared" si="1"/>
        <v>100000.00000000003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J31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61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13" spans="1:10" ht="12.7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27" spans="1:8" ht="12.75">
      <c r="A27" s="2" t="s">
        <v>16</v>
      </c>
      <c r="B27" s="2"/>
      <c r="C27" s="2"/>
      <c r="D27" s="2"/>
      <c r="E27" s="2"/>
      <c r="F27" s="2"/>
      <c r="G27" s="2"/>
      <c r="H27" s="2"/>
    </row>
    <row r="28" ht="12.75">
      <c r="A28" t="s">
        <v>69</v>
      </c>
    </row>
    <row r="29" ht="12.75">
      <c r="A29" t="s">
        <v>70</v>
      </c>
    </row>
    <row r="30" ht="12.75">
      <c r="A30" t="s">
        <v>71</v>
      </c>
    </row>
    <row r="31" ht="12.75">
      <c r="A31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abelle122"/>
  <dimension ref="B4:M3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3.57421875" style="0" customWidth="1"/>
    <col min="3" max="3" width="18.7109375" style="0" customWidth="1"/>
    <col min="6" max="6" width="3.7109375" style="0" customWidth="1"/>
    <col min="7" max="7" width="14.57421875" style="0" customWidth="1"/>
    <col min="8" max="8" width="21.57421875" style="0" customWidth="1"/>
    <col min="9" max="9" width="14.57421875" style="0" customWidth="1"/>
    <col min="10" max="10" width="14.7109375" style="0" customWidth="1"/>
    <col min="11" max="11" width="13.421875" style="0" customWidth="1"/>
    <col min="12" max="12" width="15.28125" style="0" customWidth="1"/>
  </cols>
  <sheetData>
    <row r="4" spans="2:3" ht="12.75">
      <c r="B4" s="3" t="s">
        <v>323</v>
      </c>
      <c r="C4" s="3"/>
    </row>
    <row r="5" spans="2:4" ht="12.75">
      <c r="B5" s="40" t="s">
        <v>319</v>
      </c>
      <c r="C5" s="27">
        <v>100000</v>
      </c>
      <c r="D5" s="3" t="s">
        <v>106</v>
      </c>
    </row>
    <row r="6" spans="2:4" ht="12.75">
      <c r="B6" s="40" t="s">
        <v>318</v>
      </c>
      <c r="C6" s="3">
        <v>7</v>
      </c>
      <c r="D6" s="3"/>
    </row>
    <row r="7" spans="2:4" ht="12.75">
      <c r="B7" s="40" t="s">
        <v>141</v>
      </c>
      <c r="C7" s="28">
        <v>0.075</v>
      </c>
      <c r="D7" s="3"/>
    </row>
    <row r="8" spans="2:4" ht="12.75">
      <c r="B8" s="3"/>
      <c r="C8" s="3"/>
      <c r="D8" s="3"/>
    </row>
    <row r="9" spans="2:4" ht="12.75">
      <c r="B9" s="3" t="s">
        <v>324</v>
      </c>
      <c r="C9" s="3"/>
      <c r="D9" s="3"/>
    </row>
    <row r="10" spans="2:4" ht="12.75">
      <c r="B10" s="40" t="s">
        <v>325</v>
      </c>
      <c r="C10" s="27">
        <v>100000</v>
      </c>
      <c r="D10" s="3" t="s">
        <v>106</v>
      </c>
    </row>
    <row r="11" spans="2:3" ht="12.75">
      <c r="B11" s="40" t="s">
        <v>142</v>
      </c>
      <c r="C11" s="3">
        <v>7</v>
      </c>
    </row>
    <row r="12" spans="2:3" ht="12.75">
      <c r="B12" s="40" t="s">
        <v>141</v>
      </c>
      <c r="C12" s="28">
        <v>0.075</v>
      </c>
    </row>
    <row r="16" spans="2:13" ht="12.75">
      <c r="B16" s="2" t="s">
        <v>327</v>
      </c>
      <c r="C16" s="2" t="s">
        <v>323</v>
      </c>
      <c r="D16" s="2"/>
      <c r="E16" s="2"/>
      <c r="F16" s="3"/>
      <c r="G16" s="2" t="s">
        <v>327</v>
      </c>
      <c r="H16" s="2" t="s">
        <v>324</v>
      </c>
      <c r="I16" s="2"/>
      <c r="J16" s="2"/>
      <c r="K16" s="2"/>
      <c r="L16" s="2"/>
      <c r="M16" s="17"/>
    </row>
    <row r="17" spans="2:13" ht="12.75">
      <c r="B17" s="2" t="s">
        <v>317</v>
      </c>
      <c r="C17" s="47">
        <f>C21*C20</f>
        <v>165904.9140057373</v>
      </c>
      <c r="D17" s="2" t="s">
        <v>106</v>
      </c>
      <c r="E17" s="2"/>
      <c r="F17" s="3"/>
      <c r="G17" s="2" t="s">
        <v>325</v>
      </c>
      <c r="H17" s="47">
        <f>'285'!$C$10</f>
        <v>100000</v>
      </c>
      <c r="I17" s="2" t="s">
        <v>106</v>
      </c>
      <c r="J17" s="2"/>
      <c r="K17" s="2"/>
      <c r="L17" s="2"/>
      <c r="M17" s="17"/>
    </row>
    <row r="18" spans="2:13" ht="12.75">
      <c r="B18" s="2" t="s">
        <v>318</v>
      </c>
      <c r="C18" s="2">
        <f>'285'!$C$6</f>
        <v>7</v>
      </c>
      <c r="D18" s="2"/>
      <c r="E18" s="2"/>
      <c r="F18" s="3"/>
      <c r="G18" s="2" t="s">
        <v>142</v>
      </c>
      <c r="H18" s="2">
        <f>'285'!$C$11</f>
        <v>7</v>
      </c>
      <c r="I18" s="2"/>
      <c r="J18" s="2"/>
      <c r="K18" s="2"/>
      <c r="L18" s="2"/>
      <c r="M18" s="17"/>
    </row>
    <row r="19" spans="2:13" ht="12.75">
      <c r="B19" s="2" t="s">
        <v>141</v>
      </c>
      <c r="C19" s="31">
        <f>'285'!$C$7</f>
        <v>0.075</v>
      </c>
      <c r="D19" s="2"/>
      <c r="E19" s="2"/>
      <c r="F19" s="3"/>
      <c r="G19" s="2" t="s">
        <v>141</v>
      </c>
      <c r="H19" s="31">
        <f>'285'!$C$12</f>
        <v>0.075</v>
      </c>
      <c r="I19" s="2"/>
      <c r="J19" s="2"/>
      <c r="K19" s="2"/>
      <c r="L19" s="2"/>
      <c r="M19" s="17"/>
    </row>
    <row r="20" spans="2:13" ht="12.75">
      <c r="B20" s="2" t="s">
        <v>326</v>
      </c>
      <c r="C20" s="18">
        <f>(1+$C$19)^$C$18</f>
        <v>1.6590491400573728</v>
      </c>
      <c r="D20" s="2"/>
      <c r="E20" s="2"/>
      <c r="F20" s="3"/>
      <c r="G20" s="2"/>
      <c r="H20" s="2"/>
      <c r="I20" s="2"/>
      <c r="J20" s="2"/>
      <c r="K20" s="2"/>
      <c r="L20" s="2"/>
      <c r="M20" s="17"/>
    </row>
    <row r="21" spans="2:13" ht="12.75">
      <c r="B21" s="2" t="s">
        <v>319</v>
      </c>
      <c r="C21" s="47">
        <f>'285'!$C$5</f>
        <v>100000</v>
      </c>
      <c r="D21" s="2" t="s">
        <v>106</v>
      </c>
      <c r="E21" s="2"/>
      <c r="F21" s="3"/>
      <c r="G21" s="2"/>
      <c r="H21" s="2"/>
      <c r="I21" s="2"/>
      <c r="J21" s="2"/>
      <c r="K21" s="2"/>
      <c r="L21" s="2"/>
      <c r="M21" s="17"/>
    </row>
    <row r="22" spans="2:12" ht="12.75">
      <c r="B22" s="3"/>
      <c r="C22" s="3"/>
      <c r="D22" s="3"/>
      <c r="E22" s="3"/>
      <c r="F22" s="3"/>
      <c r="G22" s="97"/>
      <c r="H22" s="97"/>
      <c r="I22" s="97"/>
      <c r="J22" s="97"/>
      <c r="K22" s="97"/>
      <c r="L22" s="97"/>
    </row>
    <row r="23" spans="2:13" ht="51">
      <c r="B23" s="56" t="s">
        <v>138</v>
      </c>
      <c r="C23" s="56" t="s">
        <v>499</v>
      </c>
      <c r="D23" s="56" t="s">
        <v>497</v>
      </c>
      <c r="E23" s="56" t="s">
        <v>500</v>
      </c>
      <c r="F23" s="94"/>
      <c r="G23" s="95" t="s">
        <v>138</v>
      </c>
      <c r="H23" s="95" t="s">
        <v>328</v>
      </c>
      <c r="I23" s="95" t="s">
        <v>501</v>
      </c>
      <c r="J23" s="95" t="s">
        <v>502</v>
      </c>
      <c r="K23" s="95" t="s">
        <v>503</v>
      </c>
      <c r="L23" s="95" t="s">
        <v>504</v>
      </c>
      <c r="M23" s="2"/>
    </row>
    <row r="24" spans="2:13" ht="12.75">
      <c r="B24" s="56"/>
      <c r="C24" s="56"/>
      <c r="D24" s="56"/>
      <c r="E24" s="56"/>
      <c r="F24" s="94"/>
      <c r="G24" s="95"/>
      <c r="H24" s="95"/>
      <c r="I24" s="95"/>
      <c r="J24" s="95"/>
      <c r="K24" s="95"/>
      <c r="L24" s="95"/>
      <c r="M24" s="2"/>
    </row>
    <row r="25" spans="2:13" ht="12.75">
      <c r="B25" s="2">
        <v>1</v>
      </c>
      <c r="C25" s="21">
        <f>$C$21</f>
        <v>100000</v>
      </c>
      <c r="D25" s="21">
        <f aca="true" t="shared" si="0" ref="D25:D31">C25*$C$19</f>
        <v>7500</v>
      </c>
      <c r="E25" s="21">
        <f aca="true" t="shared" si="1" ref="E25:E31">C25+D25</f>
        <v>107500</v>
      </c>
      <c r="F25" s="3"/>
      <c r="G25" s="26">
        <v>1</v>
      </c>
      <c r="H25" s="96">
        <f>$H$19</f>
        <v>0.075</v>
      </c>
      <c r="I25" s="44">
        <f aca="true" t="shared" si="2" ref="I25:I31">$H$17*$H$19</f>
        <v>7500</v>
      </c>
      <c r="J25" s="44">
        <v>0</v>
      </c>
      <c r="K25" s="44">
        <v>0</v>
      </c>
      <c r="L25" s="44">
        <f aca="true" t="shared" si="3" ref="L25:L31">I25+J25+K25</f>
        <v>7500</v>
      </c>
      <c r="M25" s="2"/>
    </row>
    <row r="26" spans="2:13" ht="12.75">
      <c r="B26" s="2">
        <v>2</v>
      </c>
      <c r="C26" s="21">
        <f aca="true" t="shared" si="4" ref="C26:C31">E25</f>
        <v>107500</v>
      </c>
      <c r="D26" s="21">
        <f t="shared" si="0"/>
        <v>8062.5</v>
      </c>
      <c r="E26" s="21">
        <f t="shared" si="1"/>
        <v>115562.5</v>
      </c>
      <c r="F26" s="3"/>
      <c r="G26" s="26">
        <v>2</v>
      </c>
      <c r="H26" s="96">
        <f aca="true" t="shared" si="5" ref="H26:H31">H25+0.5%</f>
        <v>0.08</v>
      </c>
      <c r="I26" s="44">
        <f t="shared" si="2"/>
        <v>7500</v>
      </c>
      <c r="J26" s="44">
        <f aca="true" t="shared" si="6" ref="J26:J31">L25</f>
        <v>7500</v>
      </c>
      <c r="K26" s="44">
        <f aca="true" t="shared" si="7" ref="K26:K31">J26*H26</f>
        <v>600</v>
      </c>
      <c r="L26" s="44">
        <f t="shared" si="3"/>
        <v>15600</v>
      </c>
      <c r="M26" s="2"/>
    </row>
    <row r="27" spans="2:13" ht="12.75">
      <c r="B27" s="2">
        <v>3</v>
      </c>
      <c r="C27" s="21">
        <f t="shared" si="4"/>
        <v>115562.5</v>
      </c>
      <c r="D27" s="21">
        <f t="shared" si="0"/>
        <v>8667.1875</v>
      </c>
      <c r="E27" s="21">
        <f t="shared" si="1"/>
        <v>124229.6875</v>
      </c>
      <c r="F27" s="3"/>
      <c r="G27" s="26">
        <v>3</v>
      </c>
      <c r="H27" s="96">
        <f t="shared" si="5"/>
        <v>0.085</v>
      </c>
      <c r="I27" s="44">
        <f t="shared" si="2"/>
        <v>7500</v>
      </c>
      <c r="J27" s="44">
        <f t="shared" si="6"/>
        <v>15600</v>
      </c>
      <c r="K27" s="44">
        <f t="shared" si="7"/>
        <v>1326</v>
      </c>
      <c r="L27" s="44">
        <f t="shared" si="3"/>
        <v>24426</v>
      </c>
      <c r="M27" s="2"/>
    </row>
    <row r="28" spans="2:13" ht="12.75">
      <c r="B28" s="2">
        <v>4</v>
      </c>
      <c r="C28" s="21">
        <f t="shared" si="4"/>
        <v>124229.6875</v>
      </c>
      <c r="D28" s="21">
        <f t="shared" si="0"/>
        <v>9317.2265625</v>
      </c>
      <c r="E28" s="21">
        <f t="shared" si="1"/>
        <v>133546.9140625</v>
      </c>
      <c r="F28" s="3"/>
      <c r="G28" s="26">
        <v>4</v>
      </c>
      <c r="H28" s="96">
        <f t="shared" si="5"/>
        <v>0.09000000000000001</v>
      </c>
      <c r="I28" s="44">
        <f t="shared" si="2"/>
        <v>7500</v>
      </c>
      <c r="J28" s="44">
        <f t="shared" si="6"/>
        <v>24426</v>
      </c>
      <c r="K28" s="44">
        <f t="shared" si="7"/>
        <v>2198.34</v>
      </c>
      <c r="L28" s="44">
        <f t="shared" si="3"/>
        <v>34124.34</v>
      </c>
      <c r="M28" s="2"/>
    </row>
    <row r="29" spans="2:13" ht="12.75">
      <c r="B29" s="2">
        <v>5</v>
      </c>
      <c r="C29" s="21">
        <f t="shared" si="4"/>
        <v>133546.9140625</v>
      </c>
      <c r="D29" s="21">
        <f t="shared" si="0"/>
        <v>10016.0185546875</v>
      </c>
      <c r="E29" s="21">
        <f t="shared" si="1"/>
        <v>143562.9326171875</v>
      </c>
      <c r="F29" s="3"/>
      <c r="G29" s="26">
        <v>5</v>
      </c>
      <c r="H29" s="96">
        <f t="shared" si="5"/>
        <v>0.09500000000000001</v>
      </c>
      <c r="I29" s="44">
        <f t="shared" si="2"/>
        <v>7500</v>
      </c>
      <c r="J29" s="44">
        <f t="shared" si="6"/>
        <v>34124.34</v>
      </c>
      <c r="K29" s="44">
        <f t="shared" si="7"/>
        <v>3241.8123</v>
      </c>
      <c r="L29" s="44">
        <f t="shared" si="3"/>
        <v>44866.152299999994</v>
      </c>
      <c r="M29" s="2"/>
    </row>
    <row r="30" spans="2:13" ht="12.75">
      <c r="B30" s="2">
        <v>6</v>
      </c>
      <c r="C30" s="21">
        <f t="shared" si="4"/>
        <v>143562.9326171875</v>
      </c>
      <c r="D30" s="21">
        <f t="shared" si="0"/>
        <v>10767.219946289062</v>
      </c>
      <c r="E30" s="21">
        <f t="shared" si="1"/>
        <v>154330.15256347656</v>
      </c>
      <c r="F30" s="3"/>
      <c r="G30" s="26">
        <v>6</v>
      </c>
      <c r="H30" s="96">
        <f t="shared" si="5"/>
        <v>0.10000000000000002</v>
      </c>
      <c r="I30" s="44">
        <f t="shared" si="2"/>
        <v>7500</v>
      </c>
      <c r="J30" s="44">
        <f t="shared" si="6"/>
        <v>44866.152299999994</v>
      </c>
      <c r="K30" s="44">
        <f t="shared" si="7"/>
        <v>4486.61523</v>
      </c>
      <c r="L30" s="44">
        <f t="shared" si="3"/>
        <v>56852.76753</v>
      </c>
      <c r="M30" s="2"/>
    </row>
    <row r="31" spans="2:13" ht="12.75">
      <c r="B31" s="2">
        <v>7</v>
      </c>
      <c r="C31" s="21">
        <f t="shared" si="4"/>
        <v>154330.15256347656</v>
      </c>
      <c r="D31" s="21">
        <f t="shared" si="0"/>
        <v>11574.761442260742</v>
      </c>
      <c r="E31" s="21">
        <f t="shared" si="1"/>
        <v>165904.9140057373</v>
      </c>
      <c r="F31" s="3"/>
      <c r="G31" s="26">
        <v>7</v>
      </c>
      <c r="H31" s="96">
        <f t="shared" si="5"/>
        <v>0.10500000000000002</v>
      </c>
      <c r="I31" s="44">
        <f t="shared" si="2"/>
        <v>7500</v>
      </c>
      <c r="J31" s="44">
        <f t="shared" si="6"/>
        <v>56852.76753</v>
      </c>
      <c r="K31" s="44">
        <f t="shared" si="7"/>
        <v>5969.540590650001</v>
      </c>
      <c r="L31" s="44">
        <f t="shared" si="3"/>
        <v>70322.30812064999</v>
      </c>
      <c r="M31" s="2"/>
    </row>
    <row r="32" spans="2:13" ht="12.75">
      <c r="B32" s="2"/>
      <c r="C32" s="21"/>
      <c r="D32" s="21"/>
      <c r="E32" s="21"/>
      <c r="F32" s="3"/>
      <c r="G32" s="26"/>
      <c r="H32" s="96"/>
      <c r="I32" s="44"/>
      <c r="J32" s="44"/>
      <c r="K32" s="44"/>
      <c r="L32" s="44"/>
      <c r="M32" s="2"/>
    </row>
    <row r="33" spans="2:13" ht="12.75">
      <c r="B33" s="3"/>
      <c r="C33" s="3"/>
      <c r="D33" s="3"/>
      <c r="E33" s="3"/>
      <c r="F33" s="3"/>
      <c r="G33" s="26" t="s">
        <v>251</v>
      </c>
      <c r="H33" s="26"/>
      <c r="I33" s="44">
        <f>SUM(I25:I31)</f>
        <v>52500</v>
      </c>
      <c r="J33" s="26"/>
      <c r="K33" s="44">
        <f>SUM(K25:K31)</f>
        <v>17822.308120650003</v>
      </c>
      <c r="L33" s="26"/>
      <c r="M33" s="2"/>
    </row>
    <row r="34" spans="2:13" ht="12.75">
      <c r="B34" s="3"/>
      <c r="C34" s="3"/>
      <c r="D34" s="3"/>
      <c r="E34" s="3"/>
      <c r="F34" s="3"/>
      <c r="G34" s="26"/>
      <c r="H34" s="26"/>
      <c r="I34" s="26"/>
      <c r="J34" s="26"/>
      <c r="K34" s="26"/>
      <c r="L34" s="44">
        <f>I33+K33</f>
        <v>70322.30812065</v>
      </c>
      <c r="M34" s="2" t="s">
        <v>106</v>
      </c>
    </row>
    <row r="35" spans="2:13" ht="12.75">
      <c r="B35" s="3"/>
      <c r="C35" s="3"/>
      <c r="D35" s="3"/>
      <c r="E35" s="3"/>
      <c r="F35" s="3"/>
      <c r="G35" s="26"/>
      <c r="H35" s="26"/>
      <c r="I35" s="26"/>
      <c r="J35" s="26"/>
      <c r="K35" s="26"/>
      <c r="L35" s="44">
        <f>$H$17</f>
        <v>100000</v>
      </c>
      <c r="M35" s="2" t="s">
        <v>106</v>
      </c>
    </row>
    <row r="36" spans="2:13" ht="12.75">
      <c r="B36" s="3"/>
      <c r="C36" s="3"/>
      <c r="D36" s="3"/>
      <c r="E36" s="3"/>
      <c r="F36" s="3"/>
      <c r="G36" s="26"/>
      <c r="H36" s="26"/>
      <c r="I36" s="26"/>
      <c r="J36" s="26"/>
      <c r="K36" s="26"/>
      <c r="L36" s="44">
        <f>L35+L34</f>
        <v>170322.30812065</v>
      </c>
      <c r="M36" s="2" t="s">
        <v>106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abelle123"/>
  <dimension ref="B4:F1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9.8515625" style="0" bestFit="1" customWidth="1"/>
    <col min="4" max="4" width="13.421875" style="0" customWidth="1"/>
    <col min="5" max="5" width="6.28125" style="0" customWidth="1"/>
    <col min="6" max="6" width="8.57421875" style="0" customWidth="1"/>
  </cols>
  <sheetData>
    <row r="4" spans="2:4" ht="12.75">
      <c r="B4" s="3" t="s">
        <v>329</v>
      </c>
      <c r="C4" s="3">
        <v>100</v>
      </c>
      <c r="D4" s="3" t="s">
        <v>106</v>
      </c>
    </row>
    <row r="5" spans="2:3" ht="12.75">
      <c r="B5" s="3" t="s">
        <v>344</v>
      </c>
      <c r="C5" s="28">
        <v>0.075</v>
      </c>
    </row>
    <row r="6" spans="2:3" ht="12.75">
      <c r="B6" s="3" t="s">
        <v>330</v>
      </c>
      <c r="C6" s="3">
        <v>10</v>
      </c>
    </row>
    <row r="7" spans="2:3" ht="12.75">
      <c r="B7" s="3" t="s">
        <v>313</v>
      </c>
      <c r="C7" s="28">
        <v>0.075</v>
      </c>
    </row>
    <row r="11" spans="2:6" ht="12.75">
      <c r="B11" s="2" t="s">
        <v>335</v>
      </c>
      <c r="C11" s="2"/>
      <c r="D11" s="2"/>
      <c r="E11" s="2"/>
      <c r="F11" s="2"/>
    </row>
    <row r="12" spans="2:6" ht="12.75">
      <c r="B12" s="2"/>
      <c r="C12" s="2"/>
      <c r="D12" s="2"/>
      <c r="E12" s="2"/>
      <c r="F12" s="2"/>
    </row>
    <row r="13" spans="2:6" ht="12.75">
      <c r="B13" s="2" t="s">
        <v>173</v>
      </c>
      <c r="C13" s="39" t="s">
        <v>331</v>
      </c>
      <c r="D13" s="2" t="s">
        <v>332</v>
      </c>
      <c r="E13" s="80" t="s">
        <v>169</v>
      </c>
      <c r="F13" s="19">
        <f>((((1+'286'!$C$5)^'286'!$C$6)-1)/'286'!$C$5)*(1/((1+'286'!$C$5)^'286'!$C$6))*('286'!$C$7*'286'!$C$4)</f>
        <v>51.48060716985356</v>
      </c>
    </row>
    <row r="14" spans="2:6" ht="12.75">
      <c r="B14" s="2" t="s">
        <v>174</v>
      </c>
      <c r="C14" s="39" t="s">
        <v>331</v>
      </c>
      <c r="D14" s="2" t="s">
        <v>333</v>
      </c>
      <c r="E14" s="80" t="s">
        <v>169</v>
      </c>
      <c r="F14" s="19">
        <f>1/((1+'286'!$C$5)^'286'!$C$6)*'286'!$C$4</f>
        <v>48.519392830146444</v>
      </c>
    </row>
    <row r="15" spans="2:6" ht="12.75">
      <c r="B15" s="2"/>
      <c r="C15" s="2"/>
      <c r="D15" s="2"/>
      <c r="E15" s="2"/>
      <c r="F15" s="2"/>
    </row>
    <row r="16" spans="2:6" ht="12.75">
      <c r="B16" s="2" t="s">
        <v>334</v>
      </c>
      <c r="C16" s="2"/>
      <c r="D16" s="2"/>
      <c r="E16" s="2"/>
      <c r="F16" s="19">
        <f>SUM(F13:F15)</f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abelle124"/>
  <dimension ref="B4:J2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7109375" style="0" customWidth="1"/>
    <col min="3" max="3" width="9.57421875" style="0" customWidth="1"/>
    <col min="4" max="4" width="15.57421875" style="0" customWidth="1"/>
    <col min="5" max="5" width="4.8515625" style="0" customWidth="1"/>
    <col min="6" max="6" width="5.7109375" style="0" customWidth="1"/>
    <col min="7" max="7" width="11.140625" style="0" customWidth="1"/>
    <col min="8" max="8" width="27.140625" style="0" customWidth="1"/>
    <col min="9" max="9" width="7.00390625" style="0" customWidth="1"/>
    <col min="11" max="11" width="23.28125" style="0" customWidth="1"/>
    <col min="12" max="12" width="8.7109375" style="0" customWidth="1"/>
  </cols>
  <sheetData>
    <row r="4" spans="2:10" ht="12.75">
      <c r="B4" s="3" t="s">
        <v>341</v>
      </c>
      <c r="C4" s="3"/>
      <c r="D4" s="3"/>
      <c r="E4" s="3"/>
      <c r="F4" s="3"/>
      <c r="G4" s="3"/>
      <c r="H4" s="3" t="s">
        <v>342</v>
      </c>
      <c r="I4" s="3"/>
      <c r="J4" s="3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 t="s">
        <v>336</v>
      </c>
      <c r="C6" s="3">
        <f>C7-C8</f>
        <v>99.75</v>
      </c>
      <c r="D6" s="3" t="s">
        <v>106</v>
      </c>
      <c r="E6" s="3"/>
      <c r="F6" s="3"/>
      <c r="G6" s="3"/>
      <c r="H6" s="3" t="s">
        <v>148</v>
      </c>
      <c r="I6" s="3">
        <f>I7-I8</f>
        <v>99.75</v>
      </c>
      <c r="J6" s="3" t="s">
        <v>106</v>
      </c>
    </row>
    <row r="7" spans="2:10" ht="12.75">
      <c r="B7" s="3" t="s">
        <v>149</v>
      </c>
      <c r="C7" s="3">
        <v>100</v>
      </c>
      <c r="D7" s="3" t="s">
        <v>106</v>
      </c>
      <c r="E7" s="3"/>
      <c r="F7" s="3"/>
      <c r="G7" s="3"/>
      <c r="H7" s="3" t="s">
        <v>149</v>
      </c>
      <c r="I7" s="3">
        <v>100</v>
      </c>
      <c r="J7" s="3" t="s">
        <v>106</v>
      </c>
    </row>
    <row r="8" spans="2:10" ht="12.75">
      <c r="B8" s="3" t="s">
        <v>147</v>
      </c>
      <c r="C8" s="3">
        <v>0.25</v>
      </c>
      <c r="D8" s="3" t="s">
        <v>106</v>
      </c>
      <c r="E8" s="3"/>
      <c r="F8" s="3"/>
      <c r="G8" s="3"/>
      <c r="H8" s="3" t="s">
        <v>147</v>
      </c>
      <c r="I8" s="3">
        <v>0.25</v>
      </c>
      <c r="J8" s="3" t="s">
        <v>106</v>
      </c>
    </row>
    <row r="9" spans="2:10" ht="12.75">
      <c r="B9" s="3" t="s">
        <v>337</v>
      </c>
      <c r="C9" s="3"/>
      <c r="D9" s="3"/>
      <c r="E9" s="3"/>
      <c r="F9" s="3"/>
      <c r="G9" s="3"/>
      <c r="H9" s="3"/>
      <c r="I9" s="3"/>
      <c r="J9" s="3"/>
    </row>
    <row r="10" spans="2:10" ht="12.75">
      <c r="B10" s="3" t="s">
        <v>338</v>
      </c>
      <c r="C10" s="28">
        <v>0.0035</v>
      </c>
      <c r="D10" s="3" t="s">
        <v>339</v>
      </c>
      <c r="E10" s="3">
        <f>$C$10*$C$7</f>
        <v>0.35000000000000003</v>
      </c>
      <c r="F10" s="3" t="s">
        <v>106</v>
      </c>
      <c r="G10" s="3"/>
      <c r="H10" s="3"/>
      <c r="I10" s="3"/>
      <c r="J10" s="3"/>
    </row>
    <row r="11" spans="2:10" ht="12.75">
      <c r="B11" s="3" t="s">
        <v>340</v>
      </c>
      <c r="C11" s="28">
        <v>0.002</v>
      </c>
      <c r="D11" s="3" t="s">
        <v>339</v>
      </c>
      <c r="E11" s="29">
        <f>$C$11*$C$7</f>
        <v>0.2</v>
      </c>
      <c r="F11" s="3" t="s">
        <v>106</v>
      </c>
      <c r="G11" s="3"/>
      <c r="H11" s="3"/>
      <c r="I11" s="3"/>
      <c r="J11" s="3"/>
    </row>
    <row r="12" spans="2:10" ht="12.75">
      <c r="B12" s="3"/>
      <c r="C12" s="3"/>
      <c r="D12" s="3"/>
      <c r="E12" s="3"/>
      <c r="F12" s="3"/>
      <c r="G12" s="3"/>
      <c r="H12" s="3"/>
      <c r="I12" s="3"/>
      <c r="J12" s="3"/>
    </row>
    <row r="13" spans="2:10" ht="12.75">
      <c r="B13" s="3" t="s">
        <v>330</v>
      </c>
      <c r="C13" s="3">
        <v>10</v>
      </c>
      <c r="D13" s="3"/>
      <c r="E13" s="3"/>
      <c r="F13" s="3"/>
      <c r="G13" s="3"/>
      <c r="H13" s="3"/>
      <c r="I13" s="3"/>
      <c r="J13" s="3"/>
    </row>
    <row r="14" spans="2:10" ht="12.75">
      <c r="B14" s="3" t="s">
        <v>343</v>
      </c>
      <c r="C14" s="28">
        <v>0.075</v>
      </c>
      <c r="D14" s="3"/>
      <c r="E14" s="3"/>
      <c r="F14" s="3"/>
      <c r="G14" s="3"/>
      <c r="H14" s="3"/>
      <c r="I14" s="3"/>
      <c r="J14" s="3"/>
    </row>
    <row r="18" spans="2:10" ht="25.5">
      <c r="B18" s="37" t="s">
        <v>341</v>
      </c>
      <c r="C18" s="37"/>
      <c r="H18" s="37" t="s">
        <v>342</v>
      </c>
      <c r="I18" s="37"/>
      <c r="J18" s="45"/>
    </row>
    <row r="19" spans="2:10" ht="12.75">
      <c r="B19" s="2"/>
      <c r="C19" s="2"/>
      <c r="H19" s="2"/>
      <c r="I19" s="2"/>
      <c r="J19" s="3"/>
    </row>
    <row r="20" spans="2:10" ht="12.75">
      <c r="B20" s="2" t="s">
        <v>309</v>
      </c>
      <c r="C20" s="22">
        <f>('287'!$C$14*'287'!$C$7+'287'!$E$11+(('287'!$C$8+'287'!$E$10)/'287'!$C$13))/('287'!$C$7-'287'!$C$8-'287'!$E$10)</f>
        <v>0.07806841046277666</v>
      </c>
      <c r="H20" s="2" t="s">
        <v>309</v>
      </c>
      <c r="I20" s="22">
        <f>(('287'!$C$14*'287'!$I$7+'287'!$I$8/'287'!$C$13)/'287'!$I$6)</f>
        <v>0.07543859649122807</v>
      </c>
      <c r="J20" s="3"/>
    </row>
  </sheetData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abelle125"/>
  <dimension ref="B4:F1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9.8515625" style="0" bestFit="1" customWidth="1"/>
    <col min="4" max="4" width="13.57421875" style="0" customWidth="1"/>
    <col min="5" max="5" width="6.7109375" style="0" customWidth="1"/>
    <col min="6" max="6" width="7.28125" style="0" customWidth="1"/>
  </cols>
  <sheetData>
    <row r="4" spans="2:4" ht="12.75">
      <c r="B4" s="3" t="s">
        <v>329</v>
      </c>
      <c r="C4" s="3">
        <v>100</v>
      </c>
      <c r="D4" s="3" t="s">
        <v>106</v>
      </c>
    </row>
    <row r="5" spans="2:3" ht="12.75">
      <c r="B5" s="3" t="s">
        <v>344</v>
      </c>
      <c r="C5" s="28">
        <v>0.08</v>
      </c>
    </row>
    <row r="6" spans="2:3" ht="12.75">
      <c r="B6" s="3" t="s">
        <v>330</v>
      </c>
      <c r="C6" s="3">
        <v>10</v>
      </c>
    </row>
    <row r="7" spans="2:3" ht="12.75">
      <c r="B7" s="3" t="s">
        <v>313</v>
      </c>
      <c r="C7" s="28">
        <v>0.075</v>
      </c>
    </row>
    <row r="11" spans="2:6" ht="12.75">
      <c r="B11" s="2" t="s">
        <v>335</v>
      </c>
      <c r="C11" s="2"/>
      <c r="D11" s="2"/>
      <c r="E11" s="2"/>
      <c r="F11" s="2"/>
    </row>
    <row r="12" spans="2:6" ht="12.75">
      <c r="B12" s="2"/>
      <c r="C12" s="2"/>
      <c r="D12" s="2"/>
      <c r="E12" s="2"/>
      <c r="F12" s="2"/>
    </row>
    <row r="13" spans="2:6" ht="12.75">
      <c r="B13" s="2" t="s">
        <v>173</v>
      </c>
      <c r="C13" s="39" t="s">
        <v>331</v>
      </c>
      <c r="D13" s="2" t="s">
        <v>332</v>
      </c>
      <c r="E13" s="80" t="s">
        <v>169</v>
      </c>
      <c r="F13" s="19">
        <f>((((1+'288'!$C$5)^'288'!$C$6)-1)/'288'!$C$5)*(1/((1+'288'!$C$5)^'288'!$C$6))*('288'!$C$7*'288'!$C$4)</f>
        <v>50.325610492060854</v>
      </c>
    </row>
    <row r="14" spans="2:6" ht="12.75">
      <c r="B14" s="2" t="s">
        <v>174</v>
      </c>
      <c r="C14" s="39" t="s">
        <v>331</v>
      </c>
      <c r="D14" s="2" t="s">
        <v>333</v>
      </c>
      <c r="E14" s="80" t="s">
        <v>169</v>
      </c>
      <c r="F14" s="19">
        <f>1/((1+'288'!$C$5)^'288'!$C$6)*'288'!$C$4</f>
        <v>46.319348808468426</v>
      </c>
    </row>
    <row r="15" spans="2:6" ht="12.75">
      <c r="B15" s="2"/>
      <c r="C15" s="2"/>
      <c r="D15" s="2"/>
      <c r="E15" s="2"/>
      <c r="F15" s="2"/>
    </row>
    <row r="16" spans="2:6" ht="12.75">
      <c r="B16" s="2" t="s">
        <v>334</v>
      </c>
      <c r="C16" s="2"/>
      <c r="D16" s="2"/>
      <c r="E16" s="2"/>
      <c r="F16" s="19">
        <f>SUM(F13:F15)</f>
        <v>96.64495930052928</v>
      </c>
    </row>
  </sheetData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abelle127"/>
  <dimension ref="B4:J1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7109375" style="0" customWidth="1"/>
    <col min="3" max="3" width="9.57421875" style="0" customWidth="1"/>
    <col min="4" max="4" width="15.57421875" style="0" customWidth="1"/>
    <col min="5" max="5" width="4.8515625" style="0" customWidth="1"/>
    <col min="6" max="6" width="5.7109375" style="0" customWidth="1"/>
    <col min="7" max="7" width="11.140625" style="0" customWidth="1"/>
    <col min="8" max="8" width="25.57421875" style="0" customWidth="1"/>
    <col min="9" max="9" width="7.00390625" style="0" customWidth="1"/>
  </cols>
  <sheetData>
    <row r="4" spans="2:10" ht="12.75">
      <c r="B4" s="3" t="s">
        <v>341</v>
      </c>
      <c r="C4" s="3"/>
      <c r="D4" s="3"/>
      <c r="E4" s="3"/>
      <c r="F4" s="3"/>
      <c r="G4" s="3"/>
      <c r="H4" s="3" t="s">
        <v>342</v>
      </c>
      <c r="I4" s="3"/>
      <c r="J4" s="3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 t="s">
        <v>336</v>
      </c>
      <c r="C6" s="3">
        <f>C7-C8</f>
        <v>99.75</v>
      </c>
      <c r="D6" s="3" t="s">
        <v>106</v>
      </c>
      <c r="E6" s="3"/>
      <c r="F6" s="3"/>
      <c r="G6" s="3"/>
      <c r="H6" s="3" t="s">
        <v>148</v>
      </c>
      <c r="I6" s="3">
        <f>I7-I8</f>
        <v>99.75</v>
      </c>
      <c r="J6" s="3" t="s">
        <v>106</v>
      </c>
    </row>
    <row r="7" spans="2:10" ht="12.75">
      <c r="B7" s="3" t="s">
        <v>149</v>
      </c>
      <c r="C7" s="3">
        <v>100</v>
      </c>
      <c r="D7" s="3" t="s">
        <v>106</v>
      </c>
      <c r="E7" s="3"/>
      <c r="F7" s="3"/>
      <c r="G7" s="3"/>
      <c r="H7" s="3" t="s">
        <v>149</v>
      </c>
      <c r="I7" s="3">
        <v>100</v>
      </c>
      <c r="J7" s="3" t="s">
        <v>106</v>
      </c>
    </row>
    <row r="8" spans="2:10" ht="12.75">
      <c r="B8" s="3" t="s">
        <v>147</v>
      </c>
      <c r="C8" s="3">
        <v>0.25</v>
      </c>
      <c r="D8" s="3" t="s">
        <v>106</v>
      </c>
      <c r="E8" s="3"/>
      <c r="F8" s="3"/>
      <c r="G8" s="3"/>
      <c r="H8" s="3" t="s">
        <v>147</v>
      </c>
      <c r="I8" s="3">
        <v>0.25</v>
      </c>
      <c r="J8" s="3" t="s">
        <v>106</v>
      </c>
    </row>
    <row r="9" spans="2:10" ht="12.75">
      <c r="B9" s="3" t="s">
        <v>337</v>
      </c>
      <c r="C9" s="3"/>
      <c r="D9" s="3"/>
      <c r="E9" s="3"/>
      <c r="F9" s="3"/>
      <c r="G9" s="3"/>
      <c r="H9" s="3"/>
      <c r="I9" s="3"/>
      <c r="J9" s="3"/>
    </row>
    <row r="10" spans="2:10" ht="12.75">
      <c r="B10" s="3" t="s">
        <v>338</v>
      </c>
      <c r="C10" s="28">
        <v>0.0035</v>
      </c>
      <c r="D10" s="3" t="s">
        <v>339</v>
      </c>
      <c r="E10" s="3">
        <f>$C$10*$C$7</f>
        <v>0.35000000000000003</v>
      </c>
      <c r="F10" s="3" t="s">
        <v>106</v>
      </c>
      <c r="G10" s="3"/>
      <c r="H10" s="3"/>
      <c r="I10" s="3"/>
      <c r="J10" s="3"/>
    </row>
    <row r="11" spans="2:10" ht="12.75">
      <c r="B11" s="3" t="s">
        <v>340</v>
      </c>
      <c r="C11" s="28">
        <v>0.002</v>
      </c>
      <c r="D11" s="3" t="s">
        <v>339</v>
      </c>
      <c r="E11" s="29">
        <f>$C$11*$C$7</f>
        <v>0.2</v>
      </c>
      <c r="F11" s="3" t="s">
        <v>106</v>
      </c>
      <c r="G11" s="3"/>
      <c r="H11" s="3"/>
      <c r="I11" s="3"/>
      <c r="J11" s="3"/>
    </row>
    <row r="12" spans="2:10" ht="12.75">
      <c r="B12" s="3"/>
      <c r="C12" s="3"/>
      <c r="D12" s="3"/>
      <c r="E12" s="3"/>
      <c r="F12" s="3"/>
      <c r="G12" s="3"/>
      <c r="H12" s="3"/>
      <c r="I12" s="3"/>
      <c r="J12" s="3"/>
    </row>
    <row r="13" spans="2:10" ht="12.75">
      <c r="B13" s="3" t="s">
        <v>330</v>
      </c>
      <c r="C13" s="3">
        <v>8</v>
      </c>
      <c r="D13" s="3"/>
      <c r="E13" s="3"/>
      <c r="F13" s="3"/>
      <c r="G13" s="3"/>
      <c r="H13" s="3"/>
      <c r="I13" s="3"/>
      <c r="J13" s="3"/>
    </row>
    <row r="14" spans="2:10" ht="12.75">
      <c r="B14" s="3" t="s">
        <v>343</v>
      </c>
      <c r="C14" s="28">
        <v>0.075</v>
      </c>
      <c r="D14" s="3"/>
      <c r="E14" s="3"/>
      <c r="F14" s="3"/>
      <c r="G14" s="3"/>
      <c r="H14" s="3"/>
      <c r="I14" s="3"/>
      <c r="J14" s="3"/>
    </row>
    <row r="17" spans="2:9" ht="25.5">
      <c r="B17" s="37" t="s">
        <v>341</v>
      </c>
      <c r="C17" s="37"/>
      <c r="D17" s="45"/>
      <c r="H17" s="37" t="s">
        <v>342</v>
      </c>
      <c r="I17" s="37"/>
    </row>
    <row r="18" spans="2:9" ht="12.75">
      <c r="B18" s="17"/>
      <c r="C18" s="17"/>
      <c r="H18" s="17"/>
      <c r="I18" s="17"/>
    </row>
    <row r="19" spans="2:9" ht="12.75">
      <c r="B19" s="17" t="s">
        <v>309</v>
      </c>
      <c r="C19" s="22">
        <f>('291'!$C$14*'291'!$C$7+'291'!$E$11+(('291'!$C$8+'291'!$E$10)/'291'!$C$13))/('291'!$C$7-'291'!$C$8-'291'!$E$10)</f>
        <v>0.07821931589537223</v>
      </c>
      <c r="H19" s="17" t="s">
        <v>309</v>
      </c>
      <c r="I19" s="22">
        <f>(('291'!$C$14*'291'!$I$7+'291'!$I$8/'291'!$C$13)/'291'!$I$6)</f>
        <v>0.07550125313283208</v>
      </c>
    </row>
  </sheetData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abelle58"/>
  <dimension ref="A2:J5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Tabelle59"/>
  <dimension ref="B4:D1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26.00390625" style="46" customWidth="1"/>
    <col min="3" max="3" width="6.8515625" style="46" customWidth="1"/>
    <col min="4" max="16384" width="11.421875" style="46" customWidth="1"/>
  </cols>
  <sheetData>
    <row r="4" spans="2:4" ht="12.75">
      <c r="B4" s="45" t="s">
        <v>284</v>
      </c>
      <c r="C4" s="45">
        <v>120</v>
      </c>
      <c r="D4" s="45" t="s">
        <v>492</v>
      </c>
    </row>
    <row r="5" spans="2:4" ht="12.75">
      <c r="B5" s="45" t="s">
        <v>540</v>
      </c>
      <c r="C5" s="45">
        <v>240</v>
      </c>
      <c r="D5" s="45" t="s">
        <v>492</v>
      </c>
    </row>
    <row r="6" spans="2:4" ht="25.5">
      <c r="B6" s="45" t="s">
        <v>542</v>
      </c>
      <c r="C6" s="45">
        <v>24</v>
      </c>
      <c r="D6" s="45" t="s">
        <v>543</v>
      </c>
    </row>
    <row r="7" spans="2:4" ht="25.5">
      <c r="B7" s="45" t="s">
        <v>541</v>
      </c>
      <c r="C7" s="45">
        <v>40</v>
      </c>
      <c r="D7" s="45" t="s">
        <v>492</v>
      </c>
    </row>
    <row r="11" spans="2:4" ht="26.25" customHeight="1">
      <c r="B11" s="37" t="s">
        <v>548</v>
      </c>
      <c r="C11" s="37">
        <f>C4/C6</f>
        <v>5</v>
      </c>
      <c r="D11" s="37" t="s">
        <v>549</v>
      </c>
    </row>
    <row r="12" spans="2:4" ht="12.75">
      <c r="B12" s="37"/>
      <c r="C12" s="37"/>
      <c r="D12" s="37"/>
    </row>
    <row r="13" spans="2:4" ht="12.75">
      <c r="B13" s="37"/>
      <c r="C13" s="37" t="s">
        <v>546</v>
      </c>
      <c r="D13" s="37" t="s">
        <v>547</v>
      </c>
    </row>
    <row r="14" spans="2:4" ht="25.5">
      <c r="B14" s="37" t="s">
        <v>544</v>
      </c>
      <c r="C14" s="130">
        <f>($C$5+$C$4)/$C$4</f>
        <v>3</v>
      </c>
      <c r="D14" s="110">
        <f>$C$11*C14</f>
        <v>15</v>
      </c>
    </row>
    <row r="15" spans="2:4" ht="12.75">
      <c r="B15" s="37"/>
      <c r="C15" s="37"/>
      <c r="D15" s="37"/>
    </row>
    <row r="16" spans="2:4" ht="25.5">
      <c r="B16" s="37" t="s">
        <v>545</v>
      </c>
      <c r="C16" s="130">
        <f>($C$4+$C$5)/($C$4+$C$7)</f>
        <v>2.25</v>
      </c>
      <c r="D16" s="37">
        <f>$C$11*C16</f>
        <v>11.25</v>
      </c>
    </row>
  </sheetData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 codeName="Tabelle60"/>
  <dimension ref="A2:I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63.140625" style="0" bestFit="1" customWidth="1"/>
    <col min="3" max="3" width="2.57421875" style="0" customWidth="1"/>
    <col min="4" max="4" width="17.8515625" style="0" bestFit="1" customWidth="1"/>
    <col min="5" max="5" width="19.28125" style="0" bestFit="1" customWidth="1"/>
  </cols>
  <sheetData>
    <row r="2" spans="1:9" ht="12.75">
      <c r="A2" s="2" t="s">
        <v>14</v>
      </c>
      <c r="B2" s="2"/>
      <c r="C2" s="2"/>
      <c r="D2" s="2"/>
      <c r="E2" s="2"/>
      <c r="F2" s="2"/>
      <c r="G2" s="2"/>
      <c r="H2" s="2"/>
      <c r="I2" s="2"/>
    </row>
    <row r="5" spans="1:9" ht="12.75">
      <c r="A5" s="2" t="s">
        <v>15</v>
      </c>
      <c r="B5" s="2"/>
      <c r="C5" s="2"/>
      <c r="D5" s="2"/>
      <c r="E5" s="2"/>
      <c r="F5" s="2"/>
      <c r="G5" s="2"/>
      <c r="H5" s="2"/>
      <c r="I5" s="2"/>
    </row>
    <row r="7" ht="12.75">
      <c r="A7" t="s">
        <v>613</v>
      </c>
    </row>
    <row r="8" ht="12.75">
      <c r="A8" s="133">
        <v>3</v>
      </c>
    </row>
    <row r="9" ht="12.75">
      <c r="A9" t="s">
        <v>614</v>
      </c>
    </row>
    <row r="10" ht="12.75">
      <c r="A10" s="133">
        <v>1000</v>
      </c>
    </row>
    <row r="11" ht="12.75">
      <c r="A11" t="s">
        <v>615</v>
      </c>
    </row>
    <row r="12" ht="12.75">
      <c r="A12" t="s">
        <v>609</v>
      </c>
    </row>
    <row r="13" ht="12.75">
      <c r="A13" t="s">
        <v>610</v>
      </c>
    </row>
    <row r="16" spans="2:5" ht="25.5">
      <c r="B16" s="37"/>
      <c r="C16" s="111"/>
      <c r="D16" s="37" t="s">
        <v>605</v>
      </c>
      <c r="E16" s="37" t="s">
        <v>608</v>
      </c>
    </row>
    <row r="17" spans="2:5" ht="12.75">
      <c r="B17" s="2"/>
      <c r="C17" s="23"/>
      <c r="D17" s="2"/>
      <c r="E17" s="2"/>
    </row>
    <row r="18" spans="2:5" ht="12.75">
      <c r="B18" s="2" t="s">
        <v>599</v>
      </c>
      <c r="C18" s="23"/>
      <c r="D18" s="144">
        <v>1500</v>
      </c>
      <c r="E18" s="144">
        <f>A8*D18</f>
        <v>4500</v>
      </c>
    </row>
    <row r="19" spans="2:5" ht="12.75">
      <c r="B19" s="91" t="s">
        <v>611</v>
      </c>
      <c r="C19" s="23"/>
      <c r="D19" s="144">
        <f>A10</f>
        <v>1000</v>
      </c>
      <c r="E19" s="144">
        <f>A8*D19</f>
        <v>3000</v>
      </c>
    </row>
    <row r="20" spans="2:5" ht="12.75">
      <c r="B20" s="2" t="s">
        <v>358</v>
      </c>
      <c r="C20" s="23"/>
      <c r="D20" s="144">
        <f>D18-D19</f>
        <v>500</v>
      </c>
      <c r="E20" s="144">
        <f>E18-E19</f>
        <v>1500</v>
      </c>
    </row>
    <row r="21" spans="2:5" ht="12.75">
      <c r="B21" s="2" t="s">
        <v>612</v>
      </c>
      <c r="C21" s="23"/>
      <c r="D21" s="144">
        <f>D20/(D19/1000)</f>
        <v>500</v>
      </c>
      <c r="E21" s="144">
        <f>E20/(E19/1000)</f>
        <v>500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Tabelle61"/>
  <dimension ref="A2:H1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63.7109375" style="0" bestFit="1" customWidth="1"/>
    <col min="3" max="3" width="2.8515625" style="0" customWidth="1"/>
    <col min="4" max="4" width="16.28125" style="0" bestFit="1" customWidth="1"/>
    <col min="5" max="5" width="1.7109375" style="0" customWidth="1"/>
    <col min="6" max="6" width="23.8515625" style="0" bestFit="1" customWidth="1"/>
    <col min="7" max="7" width="21.00390625" style="0" bestFit="1" customWidth="1"/>
  </cols>
  <sheetData>
    <row r="2" spans="1:8" ht="12.75">
      <c r="A2" s="2" t="s">
        <v>14</v>
      </c>
      <c r="B2" s="2"/>
      <c r="C2" s="2"/>
      <c r="D2" s="2"/>
      <c r="E2" s="2"/>
      <c r="F2" s="2"/>
      <c r="G2" s="2"/>
      <c r="H2" s="2"/>
    </row>
    <row r="5" spans="1:8" ht="12.75">
      <c r="A5" s="2" t="s">
        <v>15</v>
      </c>
      <c r="B5" s="2"/>
      <c r="C5" s="2"/>
      <c r="D5" s="2"/>
      <c r="E5" s="2"/>
      <c r="F5" s="2"/>
      <c r="G5" s="2"/>
      <c r="H5" s="2"/>
    </row>
    <row r="8" spans="2:7" ht="25.5">
      <c r="B8" s="37"/>
      <c r="C8" s="111"/>
      <c r="D8" s="37" t="s">
        <v>605</v>
      </c>
      <c r="E8" s="111"/>
      <c r="F8" s="37" t="s">
        <v>608</v>
      </c>
      <c r="G8" s="37"/>
    </row>
    <row r="9" spans="2:7" ht="12.75">
      <c r="B9" s="2"/>
      <c r="C9" s="23"/>
      <c r="D9" s="2"/>
      <c r="E9" s="23"/>
      <c r="F9" s="2" t="s">
        <v>606</v>
      </c>
      <c r="G9" s="2" t="s">
        <v>607</v>
      </c>
    </row>
    <row r="10" spans="2:7" ht="12.75">
      <c r="B10" s="2"/>
      <c r="C10" s="145"/>
      <c r="D10" s="22"/>
      <c r="E10" s="145"/>
      <c r="F10" s="2"/>
      <c r="G10" s="22"/>
    </row>
    <row r="11" spans="2:7" ht="12.75">
      <c r="B11" s="37" t="s">
        <v>597</v>
      </c>
      <c r="C11" s="111"/>
      <c r="D11" s="144">
        <v>100</v>
      </c>
      <c r="E11" s="111"/>
      <c r="F11" s="144">
        <v>400</v>
      </c>
      <c r="G11" s="144">
        <v>400</v>
      </c>
    </row>
    <row r="12" spans="2:7" ht="12.75">
      <c r="B12" s="2" t="s">
        <v>598</v>
      </c>
      <c r="C12" s="23"/>
      <c r="D12" s="144">
        <v>500</v>
      </c>
      <c r="E12" s="23"/>
      <c r="F12" s="144">
        <v>2000</v>
      </c>
      <c r="G12" s="144">
        <v>2000</v>
      </c>
    </row>
    <row r="13" spans="2:7" ht="12.75">
      <c r="B13" s="2" t="s">
        <v>599</v>
      </c>
      <c r="C13" s="145"/>
      <c r="D13" s="144">
        <v>1500</v>
      </c>
      <c r="E13" s="146"/>
      <c r="F13" s="144">
        <v>4500</v>
      </c>
      <c r="G13" s="144">
        <v>4500</v>
      </c>
    </row>
    <row r="14" spans="2:7" ht="15.75" customHeight="1">
      <c r="B14" s="37" t="s">
        <v>600</v>
      </c>
      <c r="C14" s="111"/>
      <c r="D14" s="144">
        <v>1000</v>
      </c>
      <c r="E14" s="146"/>
      <c r="F14" s="144">
        <v>3000</v>
      </c>
      <c r="G14" s="144">
        <v>3000</v>
      </c>
    </row>
    <row r="15" spans="2:7" ht="12.75">
      <c r="B15" s="2" t="s">
        <v>601</v>
      </c>
      <c r="C15" s="23"/>
      <c r="D15" s="147">
        <v>1.8</v>
      </c>
      <c r="E15" s="148"/>
      <c r="F15" s="147">
        <v>1.8</v>
      </c>
      <c r="G15" s="147">
        <v>1.35</v>
      </c>
    </row>
    <row r="16" spans="2:7" ht="12.75">
      <c r="B16" s="2" t="s">
        <v>602</v>
      </c>
      <c r="C16" s="145"/>
      <c r="D16" s="144">
        <f>D11*D15</f>
        <v>180</v>
      </c>
      <c r="E16" s="146"/>
      <c r="F16" s="144">
        <f>F11*F15</f>
        <v>720</v>
      </c>
      <c r="G16" s="144">
        <f>G11*G15</f>
        <v>540</v>
      </c>
    </row>
    <row r="17" spans="2:7" ht="17.25" customHeight="1">
      <c r="B17" s="37" t="s">
        <v>603</v>
      </c>
      <c r="C17" s="111"/>
      <c r="D17" s="144">
        <f>D13-D14-D16</f>
        <v>320</v>
      </c>
      <c r="E17" s="111"/>
      <c r="F17" s="144">
        <f>F13-F14-F16</f>
        <v>780</v>
      </c>
      <c r="G17" s="144">
        <f>G13-G14-G16</f>
        <v>960</v>
      </c>
    </row>
    <row r="18" spans="2:7" ht="12.75">
      <c r="B18" s="2" t="s">
        <v>604</v>
      </c>
      <c r="C18" s="23"/>
      <c r="D18" s="144">
        <f>D17*D14/1000</f>
        <v>320</v>
      </c>
      <c r="E18" s="23"/>
      <c r="F18" s="144">
        <f>F17*1000/F14</f>
        <v>260</v>
      </c>
      <c r="G18" s="144">
        <f>G17*1000/G14</f>
        <v>320</v>
      </c>
    </row>
    <row r="19" spans="3:5" ht="12.75">
      <c r="C19" s="10"/>
      <c r="E19" s="10"/>
    </row>
  </sheetData>
  <printOptions/>
  <pageMargins left="0.75" right="0.75" top="1" bottom="1" header="0.4921259845" footer="0.4921259845"/>
  <pageSetup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Tabelle62"/>
  <dimension ref="B4:H17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8.421875" style="0" customWidth="1"/>
  </cols>
  <sheetData>
    <row r="4" spans="2:3" ht="12.75">
      <c r="B4" s="3" t="s">
        <v>178</v>
      </c>
      <c r="C4" s="20">
        <v>0.06</v>
      </c>
    </row>
    <row r="5" spans="2:3" ht="12.75">
      <c r="B5" s="3" t="s">
        <v>179</v>
      </c>
      <c r="C5" s="3">
        <v>10</v>
      </c>
    </row>
    <row r="6" spans="2:4" ht="12.75">
      <c r="B6" s="3" t="s">
        <v>533</v>
      </c>
      <c r="C6" s="28">
        <v>0.0325</v>
      </c>
      <c r="D6" s="3" t="s">
        <v>156</v>
      </c>
    </row>
    <row r="7" spans="2:4" ht="12.75">
      <c r="B7" s="3"/>
      <c r="C7" s="28"/>
      <c r="D7" s="3"/>
    </row>
    <row r="8" spans="2:4" ht="12.75">
      <c r="B8" s="3"/>
      <c r="C8" s="28"/>
      <c r="D8" s="3"/>
    </row>
    <row r="9" spans="2:4" ht="12.75">
      <c r="B9" s="3"/>
      <c r="C9" s="28"/>
      <c r="D9" s="3"/>
    </row>
    <row r="10" spans="2:8" ht="12.75">
      <c r="B10" s="2"/>
      <c r="C10" s="2"/>
      <c r="D10" s="2"/>
      <c r="E10" s="2"/>
      <c r="F10" s="2"/>
      <c r="G10" s="2" t="s">
        <v>202</v>
      </c>
      <c r="H10" s="2" t="s">
        <v>202</v>
      </c>
    </row>
    <row r="11" spans="2:8" ht="12.75">
      <c r="B11" s="2" t="s">
        <v>173</v>
      </c>
      <c r="C11" s="2"/>
      <c r="D11" s="2"/>
      <c r="E11" s="2"/>
      <c r="F11" s="129">
        <f>((((1+$C$4)^$C$5)-1)/$C$4)*(1/((1+$C$4)^$C$5))</f>
        <v>7.360087051414702</v>
      </c>
      <c r="G11" s="21">
        <f>C6*1000</f>
        <v>32.5</v>
      </c>
      <c r="H11" s="21">
        <f>G11*F11</f>
        <v>239.20282917097782</v>
      </c>
    </row>
    <row r="12" spans="2:8" ht="12.75">
      <c r="B12" s="2" t="s">
        <v>174</v>
      </c>
      <c r="C12" s="2"/>
      <c r="D12" s="2"/>
      <c r="E12" s="2"/>
      <c r="F12" s="129">
        <f>1/((1+$C$4)^$C$5)</f>
        <v>0.5583947769151179</v>
      </c>
      <c r="G12" s="21">
        <v>1000</v>
      </c>
      <c r="H12" s="21">
        <f>G12*F12</f>
        <v>558.3947769151179</v>
      </c>
    </row>
    <row r="13" spans="2:8" ht="12.75">
      <c r="B13" s="2"/>
      <c r="C13" s="2"/>
      <c r="D13" s="2"/>
      <c r="E13" s="2"/>
      <c r="F13" s="21"/>
      <c r="G13" s="21"/>
      <c r="H13" s="21"/>
    </row>
    <row r="14" spans="2:8" ht="12.75">
      <c r="B14" s="2" t="s">
        <v>175</v>
      </c>
      <c r="C14" s="2"/>
      <c r="D14" s="2"/>
      <c r="E14" s="2"/>
      <c r="F14" s="21"/>
      <c r="G14" s="21"/>
      <c r="H14" s="21">
        <f>H12+H11</f>
        <v>797.5976060860957</v>
      </c>
    </row>
    <row r="15" spans="2:8" ht="12.75">
      <c r="B15" s="2" t="s">
        <v>176</v>
      </c>
      <c r="C15" s="2"/>
      <c r="D15" s="2"/>
      <c r="E15" s="2"/>
      <c r="F15" s="21"/>
      <c r="G15" s="21"/>
      <c r="H15" s="21">
        <f>H17-H14</f>
        <v>202.40239391390435</v>
      </c>
    </row>
    <row r="16" spans="2:8" ht="12.75">
      <c r="B16" s="2"/>
      <c r="C16" s="2"/>
      <c r="D16" s="2"/>
      <c r="E16" s="2"/>
      <c r="F16" s="21"/>
      <c r="G16" s="21"/>
      <c r="H16" s="21"/>
    </row>
    <row r="17" spans="2:8" ht="12.75">
      <c r="B17" s="2" t="s">
        <v>177</v>
      </c>
      <c r="C17" s="2"/>
      <c r="D17" s="2"/>
      <c r="E17" s="2"/>
      <c r="F17" s="21"/>
      <c r="G17" s="21"/>
      <c r="H17" s="21">
        <v>1000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2:J9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76</v>
      </c>
    </row>
    <row r="4" ht="12.75">
      <c r="A4" t="s">
        <v>77</v>
      </c>
    </row>
    <row r="6" spans="1:10" ht="12.75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Tabelle63"/>
  <dimension ref="B4:I15"/>
  <sheetViews>
    <sheetView showGridLines="0" workbookViewId="0" topLeftCell="A1">
      <selection activeCell="A1" sqref="A1"/>
    </sheetView>
  </sheetViews>
  <sheetFormatPr defaultColWidth="11.421875" defaultRowHeight="12.75"/>
  <sheetData>
    <row r="4" spans="2:9" ht="12.75">
      <c r="B4" s="3" t="s">
        <v>183</v>
      </c>
      <c r="D4" s="3">
        <v>25</v>
      </c>
      <c r="E4" s="3" t="s">
        <v>106</v>
      </c>
      <c r="F4" s="3" t="s">
        <v>184</v>
      </c>
      <c r="H4" s="3">
        <v>22.5</v>
      </c>
      <c r="I4" s="3" t="s">
        <v>106</v>
      </c>
    </row>
    <row r="5" spans="2:9" ht="12.75">
      <c r="B5" s="3" t="s">
        <v>185</v>
      </c>
      <c r="D5" s="3">
        <v>800</v>
      </c>
      <c r="E5" s="3" t="s">
        <v>227</v>
      </c>
      <c r="F5" s="3" t="s">
        <v>186</v>
      </c>
      <c r="H5" s="3">
        <v>50</v>
      </c>
      <c r="I5" s="3" t="s">
        <v>227</v>
      </c>
    </row>
    <row r="9" spans="2:8" ht="12.75">
      <c r="B9" s="2" t="s">
        <v>180</v>
      </c>
      <c r="C9" s="2"/>
      <c r="D9" s="2"/>
      <c r="E9" s="2"/>
      <c r="F9" s="18"/>
      <c r="G9" s="2" t="s">
        <v>106</v>
      </c>
      <c r="H9" s="21">
        <f>D4*D5</f>
        <v>20000</v>
      </c>
    </row>
    <row r="10" spans="2:8" ht="12.75">
      <c r="B10" s="2" t="s">
        <v>181</v>
      </c>
      <c r="C10" s="2"/>
      <c r="D10" s="2"/>
      <c r="E10" s="2"/>
      <c r="F10" s="18"/>
      <c r="G10" s="2" t="s">
        <v>106</v>
      </c>
      <c r="H10" s="21">
        <f>H4*H5</f>
        <v>1125</v>
      </c>
    </row>
    <row r="11" spans="2:8" ht="12.75">
      <c r="B11" s="2"/>
      <c r="C11" s="2"/>
      <c r="D11" s="2"/>
      <c r="E11" s="2"/>
      <c r="F11" s="2"/>
      <c r="G11" s="2"/>
      <c r="H11" s="21"/>
    </row>
    <row r="12" spans="2:8" ht="12.75">
      <c r="B12" s="2" t="s">
        <v>175</v>
      </c>
      <c r="C12" s="2"/>
      <c r="D12" s="2"/>
      <c r="E12" s="2"/>
      <c r="F12" s="2"/>
      <c r="G12" s="2" t="s">
        <v>106</v>
      </c>
      <c r="H12" s="21">
        <f>H10+H9</f>
        <v>21125</v>
      </c>
    </row>
    <row r="13" spans="2:8" ht="12.75">
      <c r="B13" s="2"/>
      <c r="C13" s="2"/>
      <c r="D13" s="2"/>
      <c r="E13" s="2"/>
      <c r="F13" s="2"/>
      <c r="G13" s="2"/>
      <c r="H13" s="21"/>
    </row>
    <row r="14" spans="2:8" ht="12.75">
      <c r="B14" s="2" t="s">
        <v>182</v>
      </c>
      <c r="C14" s="2"/>
      <c r="D14" s="2"/>
      <c r="E14" s="2"/>
      <c r="F14" s="2"/>
      <c r="G14" s="2" t="s">
        <v>106</v>
      </c>
      <c r="H14" s="21">
        <f>H12/(D5+H5)</f>
        <v>24.852941176470587</v>
      </c>
    </row>
    <row r="15" spans="2:8" ht="12.75">
      <c r="B15" s="2" t="s">
        <v>191</v>
      </c>
      <c r="C15" s="2"/>
      <c r="D15" s="2"/>
      <c r="E15" s="2"/>
      <c r="F15" s="2"/>
      <c r="G15" s="2" t="s">
        <v>106</v>
      </c>
      <c r="H15" s="21">
        <f>D4-H14</f>
        <v>0.14705882352941302</v>
      </c>
    </row>
  </sheetData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Tabelle64"/>
  <dimension ref="B4:I20"/>
  <sheetViews>
    <sheetView showGridLines="0" workbookViewId="0" topLeftCell="A1">
      <selection activeCell="A1" sqref="A1"/>
    </sheetView>
  </sheetViews>
  <sheetFormatPr defaultColWidth="11.421875" defaultRowHeight="12.75"/>
  <sheetData>
    <row r="4" spans="2:6" ht="12.75">
      <c r="B4" s="3" t="s">
        <v>184</v>
      </c>
      <c r="E4" s="3">
        <v>22.5</v>
      </c>
      <c r="F4" s="3" t="s">
        <v>106</v>
      </c>
    </row>
    <row r="5" spans="2:6" ht="12.75">
      <c r="B5" s="3" t="s">
        <v>186</v>
      </c>
      <c r="E5" s="3">
        <v>50</v>
      </c>
      <c r="F5" s="3" t="s">
        <v>227</v>
      </c>
    </row>
    <row r="6" spans="2:6" ht="12.75">
      <c r="B6" s="3" t="s">
        <v>188</v>
      </c>
      <c r="E6" s="3">
        <v>4.05</v>
      </c>
      <c r="F6" s="3" t="s">
        <v>106</v>
      </c>
    </row>
    <row r="7" spans="2:6" ht="12.75">
      <c r="B7" s="3" t="s">
        <v>189</v>
      </c>
      <c r="C7" s="3"/>
      <c r="E7" s="3">
        <v>800</v>
      </c>
      <c r="F7" s="3" t="s">
        <v>227</v>
      </c>
    </row>
    <row r="8" spans="2:6" ht="12.75">
      <c r="B8" s="3" t="s">
        <v>192</v>
      </c>
      <c r="E8" s="9">
        <v>0.15</v>
      </c>
      <c r="F8" s="3" t="s">
        <v>106</v>
      </c>
    </row>
    <row r="9" spans="2:6" ht="12.75">
      <c r="B9" s="3" t="s">
        <v>195</v>
      </c>
      <c r="E9" s="9">
        <v>50</v>
      </c>
      <c r="F9" s="3" t="s">
        <v>227</v>
      </c>
    </row>
    <row r="10" spans="2:5" ht="12.75">
      <c r="B10" s="3"/>
      <c r="E10" s="9"/>
    </row>
    <row r="13" spans="2:9" ht="12.75">
      <c r="B13" s="2" t="s">
        <v>181</v>
      </c>
      <c r="C13" s="2"/>
      <c r="D13" s="2"/>
      <c r="E13" s="2"/>
      <c r="F13" s="18"/>
      <c r="G13" s="17"/>
      <c r="H13" s="2" t="s">
        <v>106</v>
      </c>
      <c r="I13" s="21">
        <f>'309-2'!H10</f>
        <v>1125</v>
      </c>
    </row>
    <row r="14" spans="2:9" ht="12.75">
      <c r="B14" s="2"/>
      <c r="C14" s="2"/>
      <c r="D14" s="2"/>
      <c r="E14" s="2"/>
      <c r="F14" s="2"/>
      <c r="G14" s="17"/>
      <c r="H14" s="2"/>
      <c r="I14" s="21"/>
    </row>
    <row r="15" spans="2:9" ht="12.75">
      <c r="B15" s="2" t="s">
        <v>187</v>
      </c>
      <c r="C15" s="2"/>
      <c r="D15" s="2"/>
      <c r="E15" s="2"/>
      <c r="F15" s="2"/>
      <c r="G15" s="17"/>
      <c r="H15" s="2" t="s">
        <v>106</v>
      </c>
      <c r="I15" s="21">
        <f>E5*E6</f>
        <v>202.5</v>
      </c>
    </row>
    <row r="16" spans="2:9" ht="12.75">
      <c r="B16" s="2" t="s">
        <v>190</v>
      </c>
      <c r="C16" s="2"/>
      <c r="D16" s="2"/>
      <c r="E16" s="2"/>
      <c r="F16" s="2"/>
      <c r="G16" s="17"/>
      <c r="H16" s="2" t="s">
        <v>106</v>
      </c>
      <c r="I16" s="21">
        <f>E7*E8</f>
        <v>120</v>
      </c>
    </row>
    <row r="17" spans="2:9" ht="12.75">
      <c r="B17" s="2"/>
      <c r="C17" s="2"/>
      <c r="D17" s="2"/>
      <c r="E17" s="2"/>
      <c r="F17" s="2"/>
      <c r="G17" s="17"/>
      <c r="H17" s="2"/>
      <c r="I17" s="21"/>
    </row>
    <row r="18" spans="2:9" ht="12.75">
      <c r="B18" s="2" t="s">
        <v>193</v>
      </c>
      <c r="C18" s="2"/>
      <c r="D18" s="2"/>
      <c r="E18" s="2"/>
      <c r="F18" s="2"/>
      <c r="G18" s="2"/>
      <c r="H18" s="2" t="s">
        <v>106</v>
      </c>
      <c r="I18" s="21">
        <f>I13+I15+I16</f>
        <v>1447.5</v>
      </c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9" ht="12.75">
      <c r="B20" s="2" t="s">
        <v>194</v>
      </c>
      <c r="C20" s="2"/>
      <c r="D20" s="2"/>
      <c r="E20" s="2"/>
      <c r="F20" s="2"/>
      <c r="G20" s="2"/>
      <c r="H20" s="2" t="s">
        <v>106</v>
      </c>
      <c r="I20" s="2">
        <f>I18/$E$9</f>
        <v>28.95</v>
      </c>
    </row>
  </sheetData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Tabelle65"/>
  <dimension ref="A2:J20"/>
  <sheetViews>
    <sheetView showGridLines="0" workbookViewId="0" topLeftCell="A4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7" spans="2:6" ht="12.75">
      <c r="B7" s="3" t="s">
        <v>184</v>
      </c>
      <c r="E7" s="29">
        <v>23</v>
      </c>
      <c r="F7" s="3" t="s">
        <v>106</v>
      </c>
    </row>
    <row r="8" spans="2:6" ht="12.75">
      <c r="B8" s="3" t="s">
        <v>186</v>
      </c>
      <c r="E8" s="3">
        <v>50</v>
      </c>
      <c r="F8" s="3" t="s">
        <v>227</v>
      </c>
    </row>
    <row r="9" spans="2:6" ht="12.75">
      <c r="B9" s="3" t="s">
        <v>189</v>
      </c>
      <c r="C9" s="3"/>
      <c r="E9" s="3">
        <v>800</v>
      </c>
      <c r="F9" s="3" t="s">
        <v>227</v>
      </c>
    </row>
    <row r="10" spans="2:6" ht="12.75">
      <c r="B10" s="3" t="s">
        <v>183</v>
      </c>
      <c r="D10" s="3"/>
      <c r="E10" s="9">
        <v>25</v>
      </c>
      <c r="F10" s="3" t="s">
        <v>106</v>
      </c>
    </row>
    <row r="11" spans="2:6" ht="12.75">
      <c r="B11" s="3" t="s">
        <v>195</v>
      </c>
      <c r="E11" s="27">
        <v>50</v>
      </c>
      <c r="F11" s="3" t="s">
        <v>227</v>
      </c>
    </row>
    <row r="15" spans="2:9" ht="12.75">
      <c r="B15" s="2" t="s">
        <v>196</v>
      </c>
      <c r="C15" s="2"/>
      <c r="D15" s="2"/>
      <c r="E15" s="2"/>
      <c r="F15" s="2"/>
      <c r="G15" s="2"/>
      <c r="H15" s="2" t="s">
        <v>106</v>
      </c>
      <c r="I15" s="21">
        <f>E7*E8</f>
        <v>1150</v>
      </c>
    </row>
    <row r="16" spans="2:10" ht="12.75">
      <c r="B16" s="2" t="s">
        <v>197</v>
      </c>
      <c r="C16" s="2"/>
      <c r="D16" s="2"/>
      <c r="E16" s="2"/>
      <c r="F16" s="2"/>
      <c r="G16" s="2"/>
      <c r="H16" s="2" t="s">
        <v>106</v>
      </c>
      <c r="I16" s="21">
        <f>'309-1'!H11</f>
        <v>239.20282917097782</v>
      </c>
      <c r="J16" s="4"/>
    </row>
    <row r="17" spans="2:9" ht="12.75">
      <c r="B17" s="2" t="s">
        <v>198</v>
      </c>
      <c r="C17" s="2"/>
      <c r="D17" s="2"/>
      <c r="E17" s="2"/>
      <c r="F17" s="2"/>
      <c r="G17" s="2"/>
      <c r="H17" s="2" t="s">
        <v>106</v>
      </c>
      <c r="I17" s="21">
        <f>(E10-(E9*E10+E8*E7)/(E9+E8))*E9</f>
        <v>94.1176470588232</v>
      </c>
    </row>
    <row r="18" spans="2:9" ht="12.75">
      <c r="B18" s="2" t="s">
        <v>193</v>
      </c>
      <c r="C18" s="2"/>
      <c r="D18" s="2"/>
      <c r="E18" s="2"/>
      <c r="F18" s="2"/>
      <c r="G18" s="2"/>
      <c r="H18" s="2" t="s">
        <v>106</v>
      </c>
      <c r="I18" s="21">
        <f>I17+I15+I16</f>
        <v>1483.320476229801</v>
      </c>
    </row>
    <row r="19" spans="2:9" ht="12.75">
      <c r="B19" s="2" t="s">
        <v>194</v>
      </c>
      <c r="C19" s="2"/>
      <c r="D19" s="2"/>
      <c r="E19" s="2"/>
      <c r="F19" s="2"/>
      <c r="G19" s="2"/>
      <c r="H19" s="2" t="s">
        <v>106</v>
      </c>
      <c r="I19" s="21">
        <f>I18/E11</f>
        <v>29.66640952459602</v>
      </c>
    </row>
    <row r="20" spans="2:9" ht="12.75">
      <c r="B20" s="2" t="s">
        <v>199</v>
      </c>
      <c r="C20" s="2"/>
      <c r="D20" s="2"/>
      <c r="E20" s="2"/>
      <c r="F20" s="2"/>
      <c r="G20" s="2"/>
      <c r="H20" s="2"/>
      <c r="I20" s="22">
        <f>I19/'309-2'!H14-1</f>
        <v>0.19367801637427773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Tabelle137"/>
  <dimension ref="B4:H13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5.57421875" style="0" customWidth="1"/>
    <col min="3" max="3" width="16.140625" style="0" customWidth="1"/>
    <col min="4" max="4" width="13.140625" style="0" customWidth="1"/>
    <col min="6" max="6" width="13.140625" style="0" customWidth="1"/>
    <col min="8" max="8" width="16.7109375" style="0" customWidth="1"/>
  </cols>
  <sheetData>
    <row r="4" spans="2:4" ht="12.75">
      <c r="B4" s="3" t="s">
        <v>377</v>
      </c>
      <c r="C4" s="29">
        <v>22.5</v>
      </c>
      <c r="D4" s="3" t="s">
        <v>106</v>
      </c>
    </row>
    <row r="8" spans="2:8" ht="12.75">
      <c r="B8" s="2" t="s">
        <v>378</v>
      </c>
      <c r="C8" s="2" t="s">
        <v>377</v>
      </c>
      <c r="D8" s="2" t="s">
        <v>379</v>
      </c>
      <c r="E8" s="2" t="s">
        <v>380</v>
      </c>
      <c r="F8" s="2" t="s">
        <v>381</v>
      </c>
      <c r="G8" s="2" t="s">
        <v>382</v>
      </c>
      <c r="H8" s="2" t="s">
        <v>383</v>
      </c>
    </row>
    <row r="9" spans="2:8" ht="12.75">
      <c r="B9" s="19">
        <v>27.5</v>
      </c>
      <c r="C9" s="19">
        <f>'311'!$C$4</f>
        <v>22.5</v>
      </c>
      <c r="D9" s="19">
        <v>10.5</v>
      </c>
      <c r="E9" s="22">
        <f>(D9+C9-B9)/B9</f>
        <v>0.2</v>
      </c>
      <c r="F9" s="19">
        <f>IF((B9-C9)&lt;0,0,B9-C9)</f>
        <v>5</v>
      </c>
      <c r="G9" s="19">
        <f>D9-F9</f>
        <v>5.5</v>
      </c>
      <c r="H9" s="2" t="str">
        <f>IF(C9&lt;B9,"im Geld",IF(C9=B9,"am Geld",IF(C9&gt;B9,"aus dem Geld")))</f>
        <v>im Geld</v>
      </c>
    </row>
    <row r="10" spans="2:8" ht="12.75">
      <c r="B10" s="19">
        <f>B9-2.5</f>
        <v>25</v>
      </c>
      <c r="C10" s="19">
        <f>'311'!$C$4</f>
        <v>22.5</v>
      </c>
      <c r="D10" s="19">
        <v>8.5</v>
      </c>
      <c r="E10" s="22">
        <f>(D10+C10-B10)/B10</f>
        <v>0.24</v>
      </c>
      <c r="F10" s="19">
        <f>IF((B10-C10)&lt;0,0,B10-C10)</f>
        <v>2.5</v>
      </c>
      <c r="G10" s="19">
        <f>D10-F10</f>
        <v>6</v>
      </c>
      <c r="H10" s="2" t="str">
        <f>IF(C10&lt;B10,"im Geld",IF(C10=B10,"am Geld",IF(C10&gt;B10,"aus dem Geld")))</f>
        <v>im Geld</v>
      </c>
    </row>
    <row r="11" spans="2:8" ht="12.75">
      <c r="B11" s="19">
        <f>B10-2.5</f>
        <v>22.5</v>
      </c>
      <c r="C11" s="19">
        <f>'311'!$C$4</f>
        <v>22.5</v>
      </c>
      <c r="D11" s="19">
        <v>6.3</v>
      </c>
      <c r="E11" s="22">
        <f>(D11+C11-B11)/B11</f>
        <v>0.28</v>
      </c>
      <c r="F11" s="19">
        <f>IF((B11-C11)&lt;0,0,B11-C11)</f>
        <v>0</v>
      </c>
      <c r="G11" s="19">
        <f>D11-F11</f>
        <v>6.3</v>
      </c>
      <c r="H11" s="2" t="str">
        <f>IF(C11&lt;B11,"im Geld",IF(C11=B11,"am Geld",IF(C11&gt;B11,"aus dem Geld")))</f>
        <v>am Geld</v>
      </c>
    </row>
    <row r="12" spans="2:8" ht="12.75">
      <c r="B12" s="19">
        <f>B11-2.5</f>
        <v>20</v>
      </c>
      <c r="C12" s="19">
        <f>'311'!$C$4</f>
        <v>22.5</v>
      </c>
      <c r="D12" s="19">
        <v>4</v>
      </c>
      <c r="E12" s="22">
        <f>(D12+C12-B12)/B12</f>
        <v>0.325</v>
      </c>
      <c r="F12" s="19">
        <f>IF((B12-C12)&lt;0,0,B12-C12)</f>
        <v>0</v>
      </c>
      <c r="G12" s="19">
        <f>D12-F12</f>
        <v>4</v>
      </c>
      <c r="H12" s="2" t="str">
        <f>IF(C12&lt;B12,"im Geld",IF(C12=B12,"am Geld",IF(C12&gt;B12,"aus dem Geld")))</f>
        <v>aus dem Geld</v>
      </c>
    </row>
    <row r="13" spans="2:8" ht="12.75">
      <c r="B13" s="19">
        <f>B12-2.5</f>
        <v>17.5</v>
      </c>
      <c r="C13" s="19">
        <f>'311'!$C$4</f>
        <v>22.5</v>
      </c>
      <c r="D13" s="19">
        <v>2</v>
      </c>
      <c r="E13" s="22">
        <f>(D13+C13-B13)/B13</f>
        <v>0.4</v>
      </c>
      <c r="F13" s="19">
        <f>IF((B13-C13)&lt;0,0,B13-C13)</f>
        <v>0</v>
      </c>
      <c r="G13" s="19">
        <f>D13-F13</f>
        <v>2</v>
      </c>
      <c r="H13" s="2" t="str">
        <f>IF(C13&lt;B13,"im Geld",IF(C13=B13,"am Geld",IF(C13&gt;B13,"aus dem Geld")))</f>
        <v>aus dem Geld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Tabelle138"/>
  <dimension ref="B4:D13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2.28125" style="0" customWidth="1"/>
    <col min="4" max="4" width="17.140625" style="0" customWidth="1"/>
  </cols>
  <sheetData>
    <row r="4" ht="12.75">
      <c r="D4" s="3" t="s">
        <v>391</v>
      </c>
    </row>
    <row r="5" spans="2:4" ht="12.75">
      <c r="B5" s="3" t="s">
        <v>385</v>
      </c>
      <c r="C5" s="28">
        <v>0.015</v>
      </c>
      <c r="D5" s="28">
        <v>0.015</v>
      </c>
    </row>
    <row r="6" spans="2:4" ht="12.75">
      <c r="B6" s="3" t="s">
        <v>384</v>
      </c>
      <c r="C6" s="3">
        <v>30</v>
      </c>
      <c r="D6" s="3">
        <v>90</v>
      </c>
    </row>
    <row r="7" spans="2:4" ht="12.75">
      <c r="B7" s="3" t="s">
        <v>386</v>
      </c>
      <c r="C7" s="3">
        <v>0</v>
      </c>
      <c r="D7" s="3">
        <v>0</v>
      </c>
    </row>
    <row r="11" spans="2:4" ht="12.75">
      <c r="B11" s="35"/>
      <c r="C11" s="152" t="s">
        <v>388</v>
      </c>
      <c r="D11" s="152"/>
    </row>
    <row r="12" spans="2:4" ht="34.5" customHeight="1">
      <c r="B12" s="35"/>
      <c r="C12" s="38" t="s">
        <v>390</v>
      </c>
      <c r="D12" s="57" t="s">
        <v>389</v>
      </c>
    </row>
    <row r="13" spans="2:4" ht="12.75">
      <c r="B13" s="36" t="s">
        <v>387</v>
      </c>
      <c r="C13" s="98">
        <f>'332'!$C$5/('332'!$C$6-'332'!$C$7)*360</f>
        <v>0.18</v>
      </c>
      <c r="D13" s="98">
        <f>'332'!$D$5/('332'!$D$6-'332'!$D$7)*360</f>
        <v>0.06</v>
      </c>
    </row>
  </sheetData>
  <mergeCells count="1">
    <mergeCell ref="C11:D11"/>
  </mergeCells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Tabelle139"/>
  <dimension ref="B4:C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3.28125" style="0" bestFit="1" customWidth="1"/>
  </cols>
  <sheetData>
    <row r="4" spans="2:3" ht="12.75">
      <c r="B4" s="3" t="s">
        <v>150</v>
      </c>
      <c r="C4" s="3">
        <v>4</v>
      </c>
    </row>
    <row r="5" spans="2:3" ht="12.75">
      <c r="B5" s="3" t="s">
        <v>392</v>
      </c>
      <c r="C5" s="20">
        <v>0.11</v>
      </c>
    </row>
    <row r="9" spans="2:3" ht="12.75">
      <c r="B9" s="2" t="s">
        <v>309</v>
      </c>
      <c r="C9" s="22">
        <f>((1+('351'!$C$5/'351'!$C$4))^'351'!$C$4)-1</f>
        <v>0.11462125941406276</v>
      </c>
    </row>
  </sheetData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Tabelle140"/>
  <dimension ref="B4:G25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0.7109375" style="0" customWidth="1"/>
    <col min="3" max="3" width="15.421875" style="0" customWidth="1"/>
    <col min="4" max="4" width="17.00390625" style="0" customWidth="1"/>
    <col min="6" max="6" width="24.00390625" style="0" customWidth="1"/>
    <col min="7" max="7" width="22.8515625" style="0" customWidth="1"/>
    <col min="10" max="10" width="13.00390625" style="0" customWidth="1"/>
  </cols>
  <sheetData>
    <row r="4" spans="2:4" ht="12.75">
      <c r="B4" s="3" t="s">
        <v>393</v>
      </c>
      <c r="C4" s="27">
        <v>100000</v>
      </c>
      <c r="D4" s="3" t="s">
        <v>106</v>
      </c>
    </row>
    <row r="6" spans="2:5" ht="12.75">
      <c r="B6" s="153" t="s">
        <v>394</v>
      </c>
      <c r="C6" s="153"/>
      <c r="D6" s="153"/>
      <c r="E6" s="153"/>
    </row>
    <row r="7" spans="2:5" ht="12.75">
      <c r="B7" s="3" t="s">
        <v>151</v>
      </c>
      <c r="C7" s="59">
        <v>15</v>
      </c>
      <c r="D7" s="3" t="s">
        <v>395</v>
      </c>
      <c r="E7" s="27">
        <v>10000</v>
      </c>
    </row>
    <row r="8" spans="2:5" ht="12.75">
      <c r="B8" s="3"/>
      <c r="C8" s="59">
        <v>15</v>
      </c>
      <c r="D8" s="3"/>
      <c r="E8" s="27">
        <v>50000</v>
      </c>
    </row>
    <row r="9" spans="2:5" ht="12.75">
      <c r="B9" s="3"/>
      <c r="C9" s="59">
        <v>15</v>
      </c>
      <c r="D9" s="3"/>
      <c r="E9" s="27">
        <v>90000</v>
      </c>
    </row>
    <row r="10" spans="2:5" ht="12.75">
      <c r="B10" s="3"/>
      <c r="C10" s="59">
        <v>15</v>
      </c>
      <c r="D10" s="3"/>
      <c r="E10" s="27">
        <v>20000</v>
      </c>
    </row>
    <row r="11" spans="2:5" ht="12.75">
      <c r="B11" s="3"/>
      <c r="C11" s="59">
        <v>15</v>
      </c>
      <c r="D11" s="3"/>
      <c r="E11" s="27">
        <v>40000</v>
      </c>
    </row>
    <row r="12" spans="2:5" ht="12.75">
      <c r="B12" s="3"/>
      <c r="C12" s="59">
        <v>15</v>
      </c>
      <c r="D12" s="3"/>
      <c r="E12" s="27">
        <v>30000</v>
      </c>
    </row>
    <row r="16" spans="2:7" ht="12.75">
      <c r="B16" s="150" t="s">
        <v>396</v>
      </c>
      <c r="C16" s="150"/>
      <c r="D16" s="150"/>
      <c r="E16" s="150"/>
      <c r="F16" s="150"/>
      <c r="G16" s="150"/>
    </row>
    <row r="17" spans="2:7" ht="12.75">
      <c r="B17" s="37"/>
      <c r="C17" s="37"/>
      <c r="D17" s="37"/>
      <c r="E17" s="37"/>
      <c r="F17" s="37"/>
      <c r="G17" s="37"/>
    </row>
    <row r="18" spans="2:7" ht="43.5" customHeight="1">
      <c r="B18" s="60" t="s">
        <v>151</v>
      </c>
      <c r="C18" s="60" t="s">
        <v>397</v>
      </c>
      <c r="D18" s="60" t="s">
        <v>505</v>
      </c>
      <c r="E18" s="60" t="s">
        <v>152</v>
      </c>
      <c r="F18" s="60" t="s">
        <v>507</v>
      </c>
      <c r="G18" s="60" t="s">
        <v>506</v>
      </c>
    </row>
    <row r="19" spans="2:7" ht="12.75">
      <c r="B19" s="99">
        <v>39995</v>
      </c>
      <c r="C19" s="84">
        <f>'352-1'!E7</f>
        <v>10000</v>
      </c>
      <c r="D19" s="84">
        <f>'352-1'!$C$4-C19</f>
        <v>90000</v>
      </c>
      <c r="E19" s="100">
        <f>'352-1'!C7</f>
        <v>15</v>
      </c>
      <c r="F19" s="84">
        <f aca="true" t="shared" si="0" ref="F19:F24">C19*E19/100</f>
        <v>1500</v>
      </c>
      <c r="G19" s="84">
        <f aca="true" t="shared" si="1" ref="G19:G24">D19*E19/100</f>
        <v>13500</v>
      </c>
    </row>
    <row r="20" spans="2:7" ht="12.75">
      <c r="B20" s="99">
        <v>40009</v>
      </c>
      <c r="C20" s="84">
        <f>'352-1'!E8</f>
        <v>50000</v>
      </c>
      <c r="D20" s="84">
        <f>'352-1'!$C$4-C20</f>
        <v>50000</v>
      </c>
      <c r="E20" s="100">
        <f>'352-1'!C8</f>
        <v>15</v>
      </c>
      <c r="F20" s="84">
        <f t="shared" si="0"/>
        <v>7500</v>
      </c>
      <c r="G20" s="84">
        <f t="shared" si="1"/>
        <v>7500</v>
      </c>
    </row>
    <row r="21" spans="2:7" ht="12.75">
      <c r="B21" s="99">
        <v>40026</v>
      </c>
      <c r="C21" s="84">
        <f>'352-1'!E9</f>
        <v>90000</v>
      </c>
      <c r="D21" s="84">
        <f>'352-1'!$C$4-C21</f>
        <v>10000</v>
      </c>
      <c r="E21" s="100">
        <f>'352-1'!C9</f>
        <v>15</v>
      </c>
      <c r="F21" s="84">
        <f t="shared" si="0"/>
        <v>13500</v>
      </c>
      <c r="G21" s="84">
        <f t="shared" si="1"/>
        <v>1500</v>
      </c>
    </row>
    <row r="22" spans="2:7" ht="12.75">
      <c r="B22" s="99">
        <v>40040</v>
      </c>
      <c r="C22" s="84">
        <f>'352-1'!E10</f>
        <v>20000</v>
      </c>
      <c r="D22" s="84">
        <f>'352-1'!$C$4-C22</f>
        <v>80000</v>
      </c>
      <c r="E22" s="100">
        <f>'352-1'!C10</f>
        <v>15</v>
      </c>
      <c r="F22" s="84">
        <f t="shared" si="0"/>
        <v>3000</v>
      </c>
      <c r="G22" s="84">
        <f t="shared" si="1"/>
        <v>12000</v>
      </c>
    </row>
    <row r="23" spans="2:7" ht="12.75">
      <c r="B23" s="99">
        <v>40057</v>
      </c>
      <c r="C23" s="84">
        <f>'352-1'!E11</f>
        <v>40000</v>
      </c>
      <c r="D23" s="84">
        <f>'352-1'!$C$4-C23</f>
        <v>60000</v>
      </c>
      <c r="E23" s="100">
        <f>'352-1'!C11</f>
        <v>15</v>
      </c>
      <c r="F23" s="84">
        <f t="shared" si="0"/>
        <v>6000</v>
      </c>
      <c r="G23" s="84">
        <f t="shared" si="1"/>
        <v>9000</v>
      </c>
    </row>
    <row r="24" spans="2:7" ht="12.75">
      <c r="B24" s="99">
        <v>40071</v>
      </c>
      <c r="C24" s="84">
        <f>'352-1'!E12</f>
        <v>30000</v>
      </c>
      <c r="D24" s="84">
        <f>'352-1'!$C$4-C24</f>
        <v>70000</v>
      </c>
      <c r="E24" s="101">
        <f>'352-1'!C12</f>
        <v>15</v>
      </c>
      <c r="F24" s="102">
        <f t="shared" si="0"/>
        <v>4500</v>
      </c>
      <c r="G24" s="102">
        <f t="shared" si="1"/>
        <v>10500</v>
      </c>
    </row>
    <row r="25" spans="2:7" ht="12.75">
      <c r="B25" s="37"/>
      <c r="C25" s="37"/>
      <c r="D25" s="37"/>
      <c r="E25" s="37">
        <f>SUM(E19:E24)</f>
        <v>90</v>
      </c>
      <c r="F25" s="84">
        <f>SUM(F19:F24)</f>
        <v>36000</v>
      </c>
      <c r="G25" s="84">
        <f>SUM(G19:G24)</f>
        <v>54000</v>
      </c>
    </row>
  </sheetData>
  <mergeCells count="2">
    <mergeCell ref="B16:G16"/>
    <mergeCell ref="B6:E6"/>
  </mergeCells>
  <printOptions/>
  <pageMargins left="0.75" right="0.75" top="1" bottom="1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Tabelle71"/>
  <dimension ref="A2:H20"/>
  <sheetViews>
    <sheetView showGridLines="0" workbookViewId="0" topLeftCell="A3">
      <selection activeCell="A1" sqref="A1"/>
    </sheetView>
  </sheetViews>
  <sheetFormatPr defaultColWidth="11.421875" defaultRowHeight="12.75"/>
  <sheetData>
    <row r="2" spans="1:8" ht="12.75">
      <c r="A2" s="2" t="s">
        <v>14</v>
      </c>
      <c r="B2" s="2"/>
      <c r="C2" s="2"/>
      <c r="D2" s="2"/>
      <c r="E2" s="2"/>
      <c r="F2" s="2"/>
      <c r="G2" s="2"/>
      <c r="H2" s="2"/>
    </row>
    <row r="6" spans="2:6" ht="12.75">
      <c r="B6" s="3" t="s">
        <v>573</v>
      </c>
      <c r="D6" s="3"/>
      <c r="E6" s="3"/>
      <c r="F6" s="27">
        <v>36000</v>
      </c>
    </row>
    <row r="7" spans="2:6" ht="12.75">
      <c r="B7" s="3" t="s">
        <v>578</v>
      </c>
      <c r="C7" s="3"/>
      <c r="D7" s="3"/>
      <c r="E7" s="3"/>
      <c r="F7" s="3">
        <v>11</v>
      </c>
    </row>
    <row r="8" spans="2:6" ht="12.75">
      <c r="B8" s="3" t="s">
        <v>577</v>
      </c>
      <c r="C8" s="3"/>
      <c r="D8" s="3"/>
      <c r="E8" s="3"/>
      <c r="F8" s="3">
        <v>8</v>
      </c>
    </row>
    <row r="9" spans="2:6" ht="12.75">
      <c r="B9" s="3" t="s">
        <v>576</v>
      </c>
      <c r="C9" s="3"/>
      <c r="D9" s="3"/>
      <c r="E9" s="3"/>
      <c r="F9" s="3">
        <v>11</v>
      </c>
    </row>
    <row r="10" spans="2:6" ht="12.75">
      <c r="B10" s="3" t="s">
        <v>575</v>
      </c>
      <c r="C10" s="3"/>
      <c r="D10" s="3"/>
      <c r="E10" s="3"/>
      <c r="F10" s="3">
        <v>8</v>
      </c>
    </row>
    <row r="11" spans="2:6" ht="12.75">
      <c r="B11" s="3" t="s">
        <v>152</v>
      </c>
      <c r="C11" s="3"/>
      <c r="D11" s="3"/>
      <c r="E11" s="3"/>
      <c r="F11" s="3">
        <v>360</v>
      </c>
    </row>
    <row r="12" spans="2:6" ht="12.75">
      <c r="B12" s="3"/>
      <c r="C12" s="3"/>
      <c r="D12" s="3"/>
      <c r="E12" s="3"/>
      <c r="F12" s="3"/>
    </row>
    <row r="15" spans="2:6" ht="12.75">
      <c r="B15" s="150" t="s">
        <v>579</v>
      </c>
      <c r="C15" s="150"/>
      <c r="D15" s="150"/>
      <c r="E15" s="150"/>
      <c r="F15" s="150"/>
    </row>
    <row r="16" spans="2:6" ht="12.75">
      <c r="B16" s="37"/>
      <c r="C16" s="37"/>
      <c r="D16" s="37"/>
      <c r="E16" s="37"/>
      <c r="F16" s="37"/>
    </row>
    <row r="17" spans="2:6" ht="12.75">
      <c r="B17" s="60"/>
      <c r="C17" s="60" t="s">
        <v>571</v>
      </c>
      <c r="D17" s="60" t="s">
        <v>92</v>
      </c>
      <c r="E17" s="60" t="s">
        <v>572</v>
      </c>
      <c r="F17" s="60" t="s">
        <v>90</v>
      </c>
    </row>
    <row r="18" spans="2:6" ht="12.75">
      <c r="B18" s="99" t="s">
        <v>573</v>
      </c>
      <c r="C18" s="84">
        <f>F6</f>
        <v>36000</v>
      </c>
      <c r="D18" s="84">
        <f>F6</f>
        <v>36000</v>
      </c>
      <c r="E18" s="84">
        <f>F6</f>
        <v>36000</v>
      </c>
      <c r="F18" s="84">
        <f>F6</f>
        <v>36000</v>
      </c>
    </row>
    <row r="19" spans="2:6" ht="12.75">
      <c r="B19" s="99" t="s">
        <v>574</v>
      </c>
      <c r="C19" s="86">
        <f>F11/F7</f>
        <v>32.72727272727273</v>
      </c>
      <c r="D19" s="86">
        <f>F11/F8</f>
        <v>45</v>
      </c>
      <c r="E19" s="86">
        <f>F11/F9</f>
        <v>32.72727272727273</v>
      </c>
      <c r="F19" s="86">
        <f>F11/F10</f>
        <v>45</v>
      </c>
    </row>
    <row r="20" spans="2:6" ht="12.75">
      <c r="B20" s="99" t="s">
        <v>139</v>
      </c>
      <c r="C20" s="84">
        <f>F6/C19</f>
        <v>1100</v>
      </c>
      <c r="D20" s="84">
        <f>F6/D19</f>
        <v>800</v>
      </c>
      <c r="E20" s="100">
        <f>F6/E19</f>
        <v>1100</v>
      </c>
      <c r="F20" s="84">
        <f>F6/F19</f>
        <v>800</v>
      </c>
    </row>
  </sheetData>
  <mergeCells count="1">
    <mergeCell ref="B15:F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Tabelle72"/>
  <dimension ref="B1:K8"/>
  <sheetViews>
    <sheetView showGridLines="0" workbookViewId="0" topLeftCell="A1">
      <selection activeCell="A1" sqref="A1"/>
    </sheetView>
  </sheetViews>
  <sheetFormatPr defaultColWidth="11.421875" defaultRowHeight="12.75"/>
  <sheetData>
    <row r="1" spans="2:6" ht="12.75">
      <c r="B1" s="3"/>
      <c r="C1" s="3"/>
      <c r="D1" s="3"/>
      <c r="E1" s="3"/>
      <c r="F1" s="3"/>
    </row>
    <row r="4" spans="2:11" ht="12.75">
      <c r="B4" s="150" t="s">
        <v>580</v>
      </c>
      <c r="C4" s="150"/>
      <c r="D4" s="150"/>
      <c r="E4" s="150"/>
      <c r="F4" s="150"/>
      <c r="G4" s="154"/>
      <c r="H4" s="154"/>
      <c r="I4" s="154"/>
      <c r="J4" s="154"/>
      <c r="K4" s="154"/>
    </row>
    <row r="5" spans="2:11" ht="12.75"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11" s="134" customFormat="1" ht="45" customHeight="1">
      <c r="B6" s="155" t="s">
        <v>581</v>
      </c>
      <c r="C6" s="159"/>
      <c r="D6" s="155" t="s">
        <v>583</v>
      </c>
      <c r="E6" s="156"/>
      <c r="F6" s="155" t="s">
        <v>584</v>
      </c>
      <c r="G6" s="155"/>
      <c r="H6" s="155" t="s">
        <v>585</v>
      </c>
      <c r="I6" s="156"/>
      <c r="J6" s="155" t="s">
        <v>582</v>
      </c>
      <c r="K6" s="156"/>
    </row>
    <row r="7" spans="2:11" ht="17.25" customHeight="1">
      <c r="B7" s="157" t="s">
        <v>586</v>
      </c>
      <c r="C7" s="158"/>
      <c r="D7" s="135" t="s">
        <v>588</v>
      </c>
      <c r="E7" s="84"/>
      <c r="F7" s="84">
        <f>180000*0.0025</f>
        <v>450</v>
      </c>
      <c r="G7" s="99"/>
      <c r="H7" s="136">
        <f>54000/120</f>
        <v>450</v>
      </c>
      <c r="I7" s="84"/>
      <c r="J7" s="84">
        <f>0.03*100000*90/360</f>
        <v>750</v>
      </c>
      <c r="K7" s="84"/>
    </row>
    <row r="8" spans="2:11" ht="43.5" customHeight="1">
      <c r="B8" s="157" t="s">
        <v>587</v>
      </c>
      <c r="C8" s="158"/>
      <c r="D8" s="86">
        <f>'352-2'!C20</f>
        <v>1100</v>
      </c>
      <c r="E8" s="86"/>
      <c r="F8" s="86">
        <f>'352-2'!D20+'353-1'!F7</f>
        <v>1250</v>
      </c>
      <c r="G8" s="99"/>
      <c r="H8" s="86">
        <f>'352-2'!E20+'353-1'!H7</f>
        <v>1550</v>
      </c>
      <c r="I8" s="86"/>
      <c r="J8" s="86">
        <f>'352-2'!F20+'353-1'!J7</f>
        <v>1550</v>
      </c>
      <c r="K8" s="86"/>
    </row>
  </sheetData>
  <mergeCells count="8">
    <mergeCell ref="B8:C8"/>
    <mergeCell ref="B6:C6"/>
    <mergeCell ref="D6:E6"/>
    <mergeCell ref="F6:G6"/>
    <mergeCell ref="B4:K4"/>
    <mergeCell ref="H6:I6"/>
    <mergeCell ref="J6:K6"/>
    <mergeCell ref="B7:C7"/>
  </mergeCells>
  <printOptions/>
  <pageMargins left="0.75" right="0.75" top="1" bottom="1" header="0.4921259845" footer="0.4921259845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Tabelle73"/>
  <dimension ref="A2:K15"/>
  <sheetViews>
    <sheetView showGridLines="0" workbookViewId="0" topLeftCell="A4">
      <selection activeCell="A1" sqref="A1"/>
    </sheetView>
  </sheetViews>
  <sheetFormatPr defaultColWidth="11.421875" defaultRowHeight="12.75"/>
  <cols>
    <col min="3" max="5" width="19.00390625" style="0" customWidth="1"/>
    <col min="6" max="6" width="1.7109375" style="0" customWidth="1"/>
    <col min="7" max="9" width="19.00390625" style="0" customWidth="1"/>
  </cols>
  <sheetData>
    <row r="2" spans="1:11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7" spans="2:9" ht="12.75">
      <c r="B7" s="2" t="s">
        <v>327</v>
      </c>
      <c r="C7" s="2" t="s">
        <v>589</v>
      </c>
      <c r="D7" s="2"/>
      <c r="E7" s="2"/>
      <c r="F7" s="2"/>
      <c r="G7" s="2" t="s">
        <v>593</v>
      </c>
      <c r="H7" s="2"/>
      <c r="I7" s="2"/>
    </row>
    <row r="8" spans="2:9" ht="25.5">
      <c r="B8" s="2"/>
      <c r="C8" s="137" t="s">
        <v>594</v>
      </c>
      <c r="D8" s="37" t="s">
        <v>591</v>
      </c>
      <c r="E8" s="37" t="s">
        <v>592</v>
      </c>
      <c r="F8" s="37"/>
      <c r="G8" s="37" t="s">
        <v>590</v>
      </c>
      <c r="H8" s="37" t="s">
        <v>591</v>
      </c>
      <c r="I8" s="37" t="s">
        <v>592</v>
      </c>
    </row>
    <row r="9" spans="2:9" ht="12.75">
      <c r="B9" s="71">
        <v>1</v>
      </c>
      <c r="C9" s="71">
        <v>2750</v>
      </c>
      <c r="D9" s="138">
        <v>0.11</v>
      </c>
      <c r="E9" s="138">
        <f>((1+(D9/$D$14))^$D$14)-1</f>
        <v>0.11462125941406276</v>
      </c>
      <c r="F9" s="71"/>
      <c r="G9" s="71">
        <v>1100</v>
      </c>
      <c r="H9" s="138">
        <v>0.11</v>
      </c>
      <c r="I9" s="138">
        <f>((1+(H9/$D$14))^$D$14)-1</f>
        <v>0.11462125941406276</v>
      </c>
    </row>
    <row r="10" spans="2:9" ht="12.75">
      <c r="B10" s="71">
        <v>2</v>
      </c>
      <c r="C10" s="71">
        <v>2750</v>
      </c>
      <c r="D10" s="138">
        <v>0.11</v>
      </c>
      <c r="E10" s="138">
        <f>((1+(D10/$D$14))^$D$14)-1</f>
        <v>0.11462125941406276</v>
      </c>
      <c r="F10" s="71"/>
      <c r="G10" s="71">
        <v>1250</v>
      </c>
      <c r="H10" s="138">
        <v>0.125</v>
      </c>
      <c r="I10" s="138">
        <f>((1+(H10/$D$14))^$D$14)-1</f>
        <v>0.1309823989868164</v>
      </c>
    </row>
    <row r="11" spans="2:9" ht="12.75">
      <c r="B11" s="71">
        <v>3</v>
      </c>
      <c r="C11" s="71">
        <v>2750</v>
      </c>
      <c r="D11" s="138">
        <v>0.11</v>
      </c>
      <c r="E11" s="138">
        <f>((1+(D11/$D$14))^$D$14)-1</f>
        <v>0.11462125941406276</v>
      </c>
      <c r="F11" s="71"/>
      <c r="G11" s="71">
        <v>1550</v>
      </c>
      <c r="H11" s="138">
        <v>0.155</v>
      </c>
      <c r="I11" s="138">
        <f>((1+(H11/$D$14))^$D$14)-1</f>
        <v>0.164244371877442</v>
      </c>
    </row>
    <row r="12" spans="2:9" ht="12.75">
      <c r="B12" s="71">
        <v>4</v>
      </c>
      <c r="C12" s="71">
        <v>2750</v>
      </c>
      <c r="D12" s="138">
        <v>0.11</v>
      </c>
      <c r="E12" s="138">
        <f>((1+(D12/$D$14))^$D$14)-1</f>
        <v>0.11462125941406276</v>
      </c>
      <c r="F12" s="71"/>
      <c r="G12" s="71">
        <v>1550</v>
      </c>
      <c r="H12" s="138">
        <v>0.155</v>
      </c>
      <c r="I12" s="138">
        <f>((1+(H12/$D$14))^$D$14)-1</f>
        <v>0.164244371877442</v>
      </c>
    </row>
    <row r="14" spans="3:4" ht="12.75">
      <c r="C14" t="s">
        <v>170</v>
      </c>
      <c r="D14">
        <v>4</v>
      </c>
    </row>
    <row r="15" ht="15.75">
      <c r="B15" s="16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J20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78</v>
      </c>
    </row>
    <row r="6" spans="1:10" ht="12.75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20" ht="12.75">
      <c r="A20" t="s">
        <v>78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Tabelle141"/>
  <dimension ref="B4:G1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5.57421875" style="0" customWidth="1"/>
    <col min="4" max="4" width="13.00390625" style="0" customWidth="1"/>
    <col min="5" max="5" width="14.7109375" style="0" customWidth="1"/>
    <col min="6" max="6" width="9.7109375" style="0" customWidth="1"/>
  </cols>
  <sheetData>
    <row r="4" spans="2:4" ht="12.75">
      <c r="B4" s="3" t="s">
        <v>398</v>
      </c>
      <c r="C4" s="27">
        <v>40000</v>
      </c>
      <c r="D4" s="3" t="s">
        <v>106</v>
      </c>
    </row>
    <row r="5" spans="2:4" ht="12.75">
      <c r="B5" s="3" t="s">
        <v>399</v>
      </c>
      <c r="C5" s="3">
        <v>45</v>
      </c>
      <c r="D5" s="3"/>
    </row>
    <row r="6" spans="2:4" ht="12.75">
      <c r="B6" s="58" t="s">
        <v>400</v>
      </c>
      <c r="C6" s="20">
        <v>0.06</v>
      </c>
      <c r="D6" s="3"/>
    </row>
    <row r="7" spans="2:4" ht="12.75">
      <c r="B7" s="58" t="s">
        <v>153</v>
      </c>
      <c r="C7" s="3">
        <v>5</v>
      </c>
      <c r="D7" s="3" t="s">
        <v>106</v>
      </c>
    </row>
    <row r="11" spans="2:7" ht="25.5">
      <c r="B11" s="60" t="s">
        <v>407</v>
      </c>
      <c r="C11" s="61" t="s">
        <v>152</v>
      </c>
      <c r="D11" s="60" t="s">
        <v>405</v>
      </c>
      <c r="E11" s="61" t="s">
        <v>401</v>
      </c>
      <c r="F11" s="60" t="s">
        <v>406</v>
      </c>
      <c r="G11" s="61"/>
    </row>
    <row r="12" spans="2:7" ht="12.75">
      <c r="B12" s="62">
        <f>'359'!$C$4</f>
        <v>40000</v>
      </c>
      <c r="C12" s="36">
        <f>'359'!$C$5</f>
        <v>45</v>
      </c>
      <c r="D12" s="62">
        <f>B12*C12/100</f>
        <v>18000</v>
      </c>
      <c r="E12" s="36">
        <f>360/('359'!$C$6*100)</f>
        <v>60</v>
      </c>
      <c r="F12" s="36">
        <f>D12/E12</f>
        <v>300</v>
      </c>
      <c r="G12" s="36"/>
    </row>
    <row r="13" spans="2:7" ht="12.75">
      <c r="B13" s="36"/>
      <c r="C13" s="36"/>
      <c r="D13" s="36"/>
      <c r="E13" s="36"/>
      <c r="F13" s="36"/>
      <c r="G13" s="36"/>
    </row>
    <row r="14" spans="2:7" ht="12.75">
      <c r="B14" s="36"/>
      <c r="C14" s="36"/>
      <c r="D14" s="36"/>
      <c r="E14" s="36" t="s">
        <v>398</v>
      </c>
      <c r="F14" s="62">
        <f>$B$12</f>
        <v>40000</v>
      </c>
      <c r="G14" s="36" t="s">
        <v>106</v>
      </c>
    </row>
    <row r="15" spans="2:7" ht="12.75">
      <c r="B15" s="36"/>
      <c r="C15" s="36"/>
      <c r="D15" s="36"/>
      <c r="E15" s="103" t="s">
        <v>402</v>
      </c>
      <c r="F15" s="36">
        <f>$F$12</f>
        <v>300</v>
      </c>
      <c r="G15" s="36" t="s">
        <v>106</v>
      </c>
    </row>
    <row r="16" spans="2:7" ht="12.75">
      <c r="B16" s="36"/>
      <c r="C16" s="36"/>
      <c r="D16" s="36"/>
      <c r="E16" s="103" t="s">
        <v>403</v>
      </c>
      <c r="F16" s="36">
        <f>'359'!$C$7</f>
        <v>5</v>
      </c>
      <c r="G16" s="36" t="s">
        <v>106</v>
      </c>
    </row>
    <row r="17" spans="2:7" ht="12.75">
      <c r="B17" s="36"/>
      <c r="C17" s="36"/>
      <c r="D17" s="36"/>
      <c r="E17" s="36"/>
      <c r="F17" s="36"/>
      <c r="G17" s="36"/>
    </row>
    <row r="18" spans="2:7" ht="12.75">
      <c r="B18" s="36"/>
      <c r="C18" s="36"/>
      <c r="D18" s="36"/>
      <c r="E18" s="36" t="s">
        <v>404</v>
      </c>
      <c r="F18" s="62">
        <f>F14-F15-F16</f>
        <v>39695</v>
      </c>
      <c r="G18" s="36" t="s">
        <v>106</v>
      </c>
    </row>
    <row r="19" spans="2:7" ht="12.75">
      <c r="B19" s="36"/>
      <c r="C19" s="36"/>
      <c r="D19" s="36"/>
      <c r="E19" s="36" t="s">
        <v>387</v>
      </c>
      <c r="F19" s="63">
        <f>((F12+F16)*360)/(F18*C12)</f>
        <v>0.06146869882856783</v>
      </c>
      <c r="G19" s="36"/>
    </row>
  </sheetData>
  <printOptions/>
  <pageMargins left="0.75" right="0.75" top="1" bottom="1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Tabelle135"/>
  <dimension ref="B4:G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19.421875" style="46" customWidth="1"/>
    <col min="3" max="3" width="14.421875" style="46" customWidth="1"/>
    <col min="4" max="4" width="15.8515625" style="46" customWidth="1"/>
    <col min="5" max="5" width="11.7109375" style="46" customWidth="1"/>
    <col min="6" max="6" width="14.28125" style="46" customWidth="1"/>
    <col min="7" max="7" width="15.57421875" style="46" customWidth="1"/>
    <col min="8" max="16384" width="11.421875" style="46" customWidth="1"/>
  </cols>
  <sheetData>
    <row r="4" spans="2:4" ht="12.75">
      <c r="B4" s="45" t="s">
        <v>369</v>
      </c>
      <c r="C4" s="64">
        <v>1000000</v>
      </c>
      <c r="D4" s="45" t="s">
        <v>106</v>
      </c>
    </row>
    <row r="5" spans="2:4" ht="12.75">
      <c r="B5" s="45"/>
      <c r="C5" s="45"/>
      <c r="D5" s="45"/>
    </row>
    <row r="6" spans="2:4" ht="12.75">
      <c r="B6" s="45" t="s">
        <v>362</v>
      </c>
      <c r="C6" s="45"/>
      <c r="D6" s="45"/>
    </row>
    <row r="7" spans="2:4" ht="12.75">
      <c r="B7" s="105" t="s">
        <v>363</v>
      </c>
      <c r="C7" s="45"/>
      <c r="D7" s="45"/>
    </row>
    <row r="8" spans="2:4" ht="12.75">
      <c r="B8" s="105" t="s">
        <v>365</v>
      </c>
      <c r="C8" s="65">
        <v>0.0985</v>
      </c>
      <c r="D8" s="45" t="s">
        <v>368</v>
      </c>
    </row>
    <row r="9" spans="2:4" ht="12.75">
      <c r="B9" s="45"/>
      <c r="C9" s="45"/>
      <c r="D9" s="45"/>
    </row>
    <row r="10" spans="2:4" ht="12.75">
      <c r="B10" s="45" t="s">
        <v>364</v>
      </c>
      <c r="C10" s="45"/>
      <c r="D10" s="45"/>
    </row>
    <row r="11" spans="2:4" ht="12.75">
      <c r="B11" s="105" t="s">
        <v>366</v>
      </c>
      <c r="C11" s="65">
        <v>0.0881</v>
      </c>
      <c r="D11" s="45" t="s">
        <v>368</v>
      </c>
    </row>
    <row r="12" spans="2:4" ht="12.75">
      <c r="B12" s="105" t="s">
        <v>157</v>
      </c>
      <c r="C12" s="106">
        <v>0.0075</v>
      </c>
      <c r="D12" s="107" t="s">
        <v>368</v>
      </c>
    </row>
    <row r="13" spans="2:4" ht="12.75">
      <c r="B13" s="45"/>
      <c r="C13" s="65">
        <f>SUM(C11:C12)</f>
        <v>0.09559999999999999</v>
      </c>
      <c r="D13" s="45" t="s">
        <v>368</v>
      </c>
    </row>
    <row r="14" spans="2:4" ht="12.75">
      <c r="B14" s="45"/>
      <c r="C14" s="45"/>
      <c r="D14" s="45"/>
    </row>
    <row r="15" spans="2:4" ht="12.75">
      <c r="B15" s="45" t="s">
        <v>155</v>
      </c>
      <c r="C15" s="45"/>
      <c r="D15" s="45"/>
    </row>
    <row r="16" spans="2:4" ht="12.75">
      <c r="B16" s="105" t="s">
        <v>366</v>
      </c>
      <c r="C16" s="65">
        <v>0.0881</v>
      </c>
      <c r="D16" s="45" t="s">
        <v>368</v>
      </c>
    </row>
    <row r="17" spans="2:4" ht="12.75">
      <c r="B17" s="105" t="s">
        <v>157</v>
      </c>
      <c r="C17" s="65">
        <v>0.0075</v>
      </c>
      <c r="D17" s="45" t="s">
        <v>368</v>
      </c>
    </row>
    <row r="18" spans="2:4" ht="12.75">
      <c r="B18" s="105" t="s">
        <v>367</v>
      </c>
      <c r="C18" s="106">
        <v>0.0041</v>
      </c>
      <c r="D18" s="107" t="s">
        <v>368</v>
      </c>
    </row>
    <row r="19" spans="2:4" ht="12.75">
      <c r="B19" s="45"/>
      <c r="C19" s="65">
        <f>SUM(C16:C18)</f>
        <v>0.0997</v>
      </c>
      <c r="D19" s="45" t="s">
        <v>368</v>
      </c>
    </row>
    <row r="20" spans="2:4" ht="12.75">
      <c r="B20" s="45"/>
      <c r="C20" s="45"/>
      <c r="D20" s="45"/>
    </row>
    <row r="21" spans="2:4" ht="12.75">
      <c r="B21" s="45" t="s">
        <v>376</v>
      </c>
      <c r="C21" s="65">
        <v>0.095</v>
      </c>
      <c r="D21" s="45" t="s">
        <v>368</v>
      </c>
    </row>
    <row r="25" spans="2:7" ht="33.75" customHeight="1">
      <c r="B25" s="56" t="s">
        <v>371</v>
      </c>
      <c r="C25" s="150" t="s">
        <v>154</v>
      </c>
      <c r="D25" s="150"/>
      <c r="E25" s="150"/>
      <c r="F25" s="150" t="s">
        <v>370</v>
      </c>
      <c r="G25" s="150"/>
    </row>
    <row r="26" spans="2:7" ht="25.5">
      <c r="B26" s="37"/>
      <c r="C26" s="60" t="s">
        <v>508</v>
      </c>
      <c r="D26" s="60" t="s">
        <v>509</v>
      </c>
      <c r="E26" s="60" t="s">
        <v>510</v>
      </c>
      <c r="F26" s="60" t="s">
        <v>508</v>
      </c>
      <c r="G26" s="60" t="s">
        <v>509</v>
      </c>
    </row>
    <row r="27" spans="2:7" ht="12.75">
      <c r="B27" s="108">
        <v>-0.03</v>
      </c>
      <c r="C27" s="84">
        <f>'383'!$C$4*'383'!$C$8</f>
        <v>98500</v>
      </c>
      <c r="D27" s="84">
        <f>'383'!$C$4*('383'!$C$13+B27)</f>
        <v>65599.99999999999</v>
      </c>
      <c r="E27" s="84">
        <f>IF(('383'!$C$19+B27)&gt;=('383'!$C$21+'383'!$C$17+'383'!$C$18),'383'!$C$4*('383'!$C$21+'383'!$C$17+'383'!$C$18),'383'!$C$4*('383'!$C$19+B27))</f>
        <v>69700</v>
      </c>
      <c r="F27" s="84">
        <f>C27-E27</f>
        <v>28800</v>
      </c>
      <c r="G27" s="84">
        <f>D27-E27</f>
        <v>-4100.000000000015</v>
      </c>
    </row>
    <row r="28" spans="2:7" ht="12.75">
      <c r="B28" s="108">
        <v>-0.02</v>
      </c>
      <c r="C28" s="84">
        <f>'383'!$C$4*'383'!$C$8</f>
        <v>98500</v>
      </c>
      <c r="D28" s="84">
        <f>'383'!$C$4*('383'!$C$13+B28)</f>
        <v>75599.99999999999</v>
      </c>
      <c r="E28" s="84">
        <f>IF(('383'!$C$19+B28)&gt;=('383'!$C$21+'383'!$C$17+'383'!$C$18),'383'!$C$4*('383'!$C$21+'383'!$C$17+'383'!$C$18),'383'!$C$4*('383'!$C$19+B28))</f>
        <v>79700</v>
      </c>
      <c r="F28" s="84">
        <f aca="true" t="shared" si="0" ref="F28:F37">C28-E28</f>
        <v>18800</v>
      </c>
      <c r="G28" s="84">
        <f aca="true" t="shared" si="1" ref="G28:G37">D28-E28</f>
        <v>-4100.000000000015</v>
      </c>
    </row>
    <row r="29" spans="2:7" ht="12.75">
      <c r="B29" s="108">
        <v>-0.01</v>
      </c>
      <c r="C29" s="84">
        <f>'383'!$C$4*'383'!$C$8</f>
        <v>98500</v>
      </c>
      <c r="D29" s="84">
        <f>'383'!$C$4*('383'!$C$13+B29)</f>
        <v>85600</v>
      </c>
      <c r="E29" s="84">
        <f>IF(('383'!$C$19+B29)&gt;=('383'!$C$21+'383'!$C$17+'383'!$C$18),'383'!$C$4*('383'!$C$21+'383'!$C$17+'383'!$C$18),'383'!$C$4*('383'!$C$19+B29))</f>
        <v>89700</v>
      </c>
      <c r="F29" s="84">
        <f t="shared" si="0"/>
        <v>8800</v>
      </c>
      <c r="G29" s="84">
        <f t="shared" si="1"/>
        <v>-4100</v>
      </c>
    </row>
    <row r="30" spans="2:7" ht="12.75">
      <c r="B30" s="108">
        <v>-0.005</v>
      </c>
      <c r="C30" s="84">
        <f>'383'!$C$4*'383'!$C$8</f>
        <v>98500</v>
      </c>
      <c r="D30" s="84">
        <f>'383'!$C$4*('383'!$C$13+B30)</f>
        <v>90599.99999999999</v>
      </c>
      <c r="E30" s="84">
        <f>IF(('383'!$C$19+B30)&gt;=('383'!$C$21+'383'!$C$17+'383'!$C$18),'383'!$C$4*('383'!$C$21+'383'!$C$17+'383'!$C$18),'383'!$C$4*('383'!$C$19+B30))</f>
        <v>94699.99999999999</v>
      </c>
      <c r="F30" s="84">
        <f t="shared" si="0"/>
        <v>3800.0000000000146</v>
      </c>
      <c r="G30" s="84">
        <f t="shared" si="1"/>
        <v>-4100</v>
      </c>
    </row>
    <row r="31" spans="2:7" ht="12.75">
      <c r="B31" s="108">
        <v>-0.0012</v>
      </c>
      <c r="C31" s="84">
        <f>'383'!$C$4*'383'!$C$8</f>
        <v>98500</v>
      </c>
      <c r="D31" s="84">
        <f>'383'!$C$4*('383'!$C$13+B31)</f>
        <v>94399.99999999999</v>
      </c>
      <c r="E31" s="84">
        <f>IF(('383'!$C$19+B31)&gt;=('383'!$C$21+'383'!$C$17+'383'!$C$18),'383'!$C$4*('383'!$C$21+'383'!$C$17+'383'!$C$18),'383'!$C$4*('383'!$C$19+B31))</f>
        <v>98499.99999999999</v>
      </c>
      <c r="F31" s="84">
        <f t="shared" si="0"/>
        <v>0</v>
      </c>
      <c r="G31" s="84">
        <f t="shared" si="1"/>
        <v>-4100</v>
      </c>
    </row>
    <row r="32" spans="2:7" ht="12.75">
      <c r="B32" s="108">
        <v>0</v>
      </c>
      <c r="C32" s="84">
        <f>'383'!$C$4*'383'!$C$8</f>
        <v>98500</v>
      </c>
      <c r="D32" s="84">
        <f>'383'!$C$4*('383'!$C$13+B32)</f>
        <v>95599.99999999999</v>
      </c>
      <c r="E32" s="84">
        <f>IF(('383'!$C$19+B32)&gt;=('383'!$C$21+'383'!$C$17+'383'!$C$18),'383'!$C$4*('383'!$C$21+'383'!$C$17+'383'!$C$18),'383'!$C$4*('383'!$C$19+B32))</f>
        <v>99700</v>
      </c>
      <c r="F32" s="84">
        <f t="shared" si="0"/>
        <v>-1200</v>
      </c>
      <c r="G32" s="84">
        <f t="shared" si="1"/>
        <v>-4100.000000000015</v>
      </c>
    </row>
    <row r="33" spans="2:7" ht="12.75">
      <c r="B33" s="108">
        <v>0.005</v>
      </c>
      <c r="C33" s="84">
        <f>'383'!$C$4*'383'!$C$8</f>
        <v>98500</v>
      </c>
      <c r="D33" s="84">
        <f>'383'!$C$4*('383'!$C$13+B33)</f>
        <v>100600</v>
      </c>
      <c r="E33" s="84">
        <f>IF(('383'!$C$19+B33)&gt;=('383'!$C$21+'383'!$C$17+'383'!$C$18),'383'!$C$4*('383'!$C$21+'383'!$C$17+'383'!$C$18),'383'!$C$4*('383'!$C$19+B33))</f>
        <v>104700</v>
      </c>
      <c r="F33" s="84">
        <f t="shared" si="0"/>
        <v>-6200</v>
      </c>
      <c r="G33" s="84">
        <f t="shared" si="1"/>
        <v>-4100</v>
      </c>
    </row>
    <row r="34" spans="2:7" ht="12.75">
      <c r="B34" s="108">
        <v>0.01</v>
      </c>
      <c r="C34" s="84">
        <f>'383'!$C$4*'383'!$C$8</f>
        <v>98500</v>
      </c>
      <c r="D34" s="84">
        <f>'383'!$C$4*('383'!$C$13+B34)</f>
        <v>105599.99999999999</v>
      </c>
      <c r="E34" s="84">
        <f>IF(('383'!$C$19+B34)&gt;=('383'!$C$21+'383'!$C$17+'383'!$C$18),'383'!$C$4*('383'!$C$21+'383'!$C$17+'383'!$C$18),'383'!$C$4*('383'!$C$19+B34))</f>
        <v>106600.00000000001</v>
      </c>
      <c r="F34" s="84">
        <f t="shared" si="0"/>
        <v>-8100.000000000015</v>
      </c>
      <c r="G34" s="84">
        <f t="shared" si="1"/>
        <v>-1000.0000000000291</v>
      </c>
    </row>
    <row r="35" spans="2:7" ht="12.75">
      <c r="B35" s="108">
        <v>0.011</v>
      </c>
      <c r="C35" s="84">
        <f>'383'!$C$4*'383'!$C$8</f>
        <v>98500</v>
      </c>
      <c r="D35" s="84">
        <f>'383'!$C$4*('383'!$C$13+B35)</f>
        <v>106599.99999999999</v>
      </c>
      <c r="E35" s="84">
        <f>IF(('383'!$C$19+B35)&gt;=('383'!$C$21+'383'!$C$17+'383'!$C$18),'383'!$C$4*('383'!$C$21+'383'!$C$17+'383'!$C$18),'383'!$C$4*('383'!$C$19+B35))</f>
        <v>106600.00000000001</v>
      </c>
      <c r="F35" s="84">
        <f t="shared" si="0"/>
        <v>-8100.000000000015</v>
      </c>
      <c r="G35" s="84">
        <f t="shared" si="1"/>
        <v>0</v>
      </c>
    </row>
    <row r="36" spans="2:7" ht="12.75">
      <c r="B36" s="108">
        <v>0.02</v>
      </c>
      <c r="C36" s="84">
        <f>'383'!$C$4*'383'!$C$8</f>
        <v>98500</v>
      </c>
      <c r="D36" s="84">
        <f>'383'!$C$4*('383'!$C$13+B36)</f>
        <v>115600</v>
      </c>
      <c r="E36" s="84">
        <f>IF(('383'!$C$19+B36)&gt;=('383'!$C$21+'383'!$C$17+'383'!$C$18),'383'!$C$4*('383'!$C$21+'383'!$C$17+'383'!$C$18),'383'!$C$4*('383'!$C$19+B36))</f>
        <v>106600.00000000001</v>
      </c>
      <c r="F36" s="84">
        <f t="shared" si="0"/>
        <v>-8100.000000000015</v>
      </c>
      <c r="G36" s="84">
        <f t="shared" si="1"/>
        <v>8999.999999999985</v>
      </c>
    </row>
    <row r="37" spans="2:7" ht="12.75">
      <c r="B37" s="108">
        <v>0.03</v>
      </c>
      <c r="C37" s="84">
        <f>'383'!$C$4*'383'!$C$8</f>
        <v>98500</v>
      </c>
      <c r="D37" s="84">
        <f>'383'!$C$4*('383'!$C$13+B37)</f>
        <v>125599.99999999999</v>
      </c>
      <c r="E37" s="84">
        <f>IF(('383'!$C$19+B37)&gt;=('383'!$C$21+'383'!$C$17+'383'!$C$18),'383'!$C$4*('383'!$C$21+'383'!$C$17+'383'!$C$18),'383'!$C$4*('383'!$C$19+B37))</f>
        <v>106600.00000000001</v>
      </c>
      <c r="F37" s="84">
        <f t="shared" si="0"/>
        <v>-8100.000000000015</v>
      </c>
      <c r="G37" s="84">
        <f t="shared" si="1"/>
        <v>18999.99999999997</v>
      </c>
    </row>
  </sheetData>
  <mergeCells count="2">
    <mergeCell ref="C25:E25"/>
    <mergeCell ref="F25:G25"/>
  </mergeCells>
  <printOptions/>
  <pageMargins left="0.75" right="0.75" top="1" bottom="1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Tabelle136"/>
  <dimension ref="B4:G4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15.140625" style="0" customWidth="1"/>
    <col min="4" max="4" width="16.57421875" style="0" customWidth="1"/>
    <col min="5" max="5" width="10.421875" style="0" customWidth="1"/>
    <col min="6" max="6" width="15.00390625" style="0" customWidth="1"/>
    <col min="7" max="7" width="15.28125" style="0" customWidth="1"/>
  </cols>
  <sheetData>
    <row r="4" spans="2:4" ht="12.75">
      <c r="B4" s="3" t="s">
        <v>369</v>
      </c>
      <c r="C4" s="27">
        <v>1000000</v>
      </c>
      <c r="D4" s="3" t="s">
        <v>106</v>
      </c>
    </row>
    <row r="5" spans="2:4" ht="12.75">
      <c r="B5" s="3"/>
      <c r="C5" s="3"/>
      <c r="D5" s="3"/>
    </row>
    <row r="6" spans="2:4" ht="12.75">
      <c r="B6" s="3" t="s">
        <v>362</v>
      </c>
      <c r="C6" s="3"/>
      <c r="D6" s="3"/>
    </row>
    <row r="7" spans="2:4" ht="12.75">
      <c r="B7" s="104" t="s">
        <v>363</v>
      </c>
      <c r="C7" s="3"/>
      <c r="D7" s="3"/>
    </row>
    <row r="8" spans="2:4" ht="12.75">
      <c r="B8" s="40" t="s">
        <v>365</v>
      </c>
      <c r="C8" s="28">
        <v>0.0985</v>
      </c>
      <c r="D8" s="3" t="s">
        <v>368</v>
      </c>
    </row>
    <row r="9" spans="2:4" ht="12.75">
      <c r="B9" s="3"/>
      <c r="C9" s="3"/>
      <c r="D9" s="3"/>
    </row>
    <row r="10" spans="2:4" ht="12.75">
      <c r="B10" s="3" t="s">
        <v>364</v>
      </c>
      <c r="C10" s="3"/>
      <c r="D10" s="3"/>
    </row>
    <row r="11" spans="2:4" ht="12.75">
      <c r="B11" s="40" t="s">
        <v>366</v>
      </c>
      <c r="C11" s="28">
        <v>0.0881</v>
      </c>
      <c r="D11" s="3" t="s">
        <v>368</v>
      </c>
    </row>
    <row r="12" spans="2:4" ht="12.75">
      <c r="B12" s="40" t="s">
        <v>157</v>
      </c>
      <c r="C12" s="52">
        <v>0.0075</v>
      </c>
      <c r="D12" s="53" t="s">
        <v>368</v>
      </c>
    </row>
    <row r="13" spans="2:4" ht="12.75">
      <c r="B13" s="3"/>
      <c r="C13" s="28">
        <f>SUM(C11:C12)</f>
        <v>0.09559999999999999</v>
      </c>
      <c r="D13" s="3" t="s">
        <v>368</v>
      </c>
    </row>
    <row r="14" spans="2:4" ht="12.75">
      <c r="B14" s="3"/>
      <c r="C14" s="3"/>
      <c r="D14" s="3"/>
    </row>
    <row r="15" spans="2:4" ht="12.75">
      <c r="B15" s="3" t="s">
        <v>372</v>
      </c>
      <c r="C15" s="3"/>
      <c r="D15" s="3"/>
    </row>
    <row r="16" spans="2:4" ht="12.75">
      <c r="B16" s="40" t="s">
        <v>366</v>
      </c>
      <c r="C16" s="28">
        <v>0.0881</v>
      </c>
      <c r="D16" s="3" t="s">
        <v>368</v>
      </c>
    </row>
    <row r="17" spans="2:4" ht="12.75">
      <c r="B17" s="40" t="s">
        <v>157</v>
      </c>
      <c r="C17" s="28">
        <v>0.0075</v>
      </c>
      <c r="D17" s="3" t="s">
        <v>368</v>
      </c>
    </row>
    <row r="18" spans="2:4" ht="12.75">
      <c r="B18" s="40" t="s">
        <v>374</v>
      </c>
      <c r="C18" s="54">
        <v>0.0041</v>
      </c>
      <c r="D18" s="55" t="s">
        <v>368</v>
      </c>
    </row>
    <row r="19" spans="2:4" ht="12.75">
      <c r="B19" s="40" t="s">
        <v>373</v>
      </c>
      <c r="C19" s="52">
        <v>-0.0014</v>
      </c>
      <c r="D19" s="53" t="s">
        <v>368</v>
      </c>
    </row>
    <row r="20" spans="2:4" ht="12.75">
      <c r="B20" s="3"/>
      <c r="C20" s="28">
        <f>SUM(C16:C19)</f>
        <v>0.0983</v>
      </c>
      <c r="D20" s="3" t="s">
        <v>368</v>
      </c>
    </row>
    <row r="21" spans="2:4" ht="12.75">
      <c r="B21" s="3"/>
      <c r="C21" s="3"/>
      <c r="D21" s="3"/>
    </row>
    <row r="22" spans="2:4" ht="12.75">
      <c r="B22" s="3" t="s">
        <v>376</v>
      </c>
      <c r="C22" s="28">
        <v>0.095</v>
      </c>
      <c r="D22" s="3" t="s">
        <v>368</v>
      </c>
    </row>
    <row r="23" spans="2:4" ht="12.75">
      <c r="B23" s="3" t="s">
        <v>375</v>
      </c>
      <c r="C23" s="28">
        <v>0.08</v>
      </c>
      <c r="D23" s="3" t="s">
        <v>156</v>
      </c>
    </row>
    <row r="27" spans="2:7" ht="33" customHeight="1">
      <c r="B27" s="38" t="s">
        <v>371</v>
      </c>
      <c r="C27" s="152" t="s">
        <v>154</v>
      </c>
      <c r="D27" s="152"/>
      <c r="E27" s="152"/>
      <c r="F27" s="150" t="s">
        <v>370</v>
      </c>
      <c r="G27" s="150"/>
    </row>
    <row r="28" spans="2:7" ht="30.75" customHeight="1">
      <c r="B28" s="36"/>
      <c r="C28" s="60" t="s">
        <v>508</v>
      </c>
      <c r="D28" s="60" t="s">
        <v>509</v>
      </c>
      <c r="E28" s="60" t="s">
        <v>511</v>
      </c>
      <c r="F28" s="60" t="s">
        <v>508</v>
      </c>
      <c r="G28" s="60" t="s">
        <v>509</v>
      </c>
    </row>
    <row r="29" spans="2:7" ht="12.75">
      <c r="B29" s="31">
        <v>-0.03</v>
      </c>
      <c r="C29" s="62">
        <f>'386'!$C$4*'386'!$C$8</f>
        <v>98500</v>
      </c>
      <c r="D29" s="62">
        <f>'386'!$C$4*('386'!$C$13+B29)</f>
        <v>65599.99999999999</v>
      </c>
      <c r="E29" s="47">
        <f>IF(('386'!$C$20+B29)&gt;=('386'!$C$22+'386'!$C$17+'386'!$C$18+'386'!$C$19),'386'!$C$4*('386'!$C$22+'386'!$C$17+'386'!$C$18+'386'!$C$19),IF(('386'!$C$20+B29)&lt;=('386'!$C$23+'386'!$C$19+'386'!$C$18+'386'!$C$17),'386'!$C$4*('386'!$C$23+'386'!$C$19+'386'!$C$18+'386'!$C$17),'386'!$C$4*('386'!$C$20+B29)))</f>
        <v>90200</v>
      </c>
      <c r="F29" s="62">
        <f>C29-E29</f>
        <v>8300</v>
      </c>
      <c r="G29" s="62">
        <f>D29-E29</f>
        <v>-24600.000000000015</v>
      </c>
    </row>
    <row r="30" spans="2:7" ht="12.75">
      <c r="B30" s="31">
        <v>-0.02</v>
      </c>
      <c r="C30" s="62">
        <f>'386'!$C$4*'386'!$C$8</f>
        <v>98500</v>
      </c>
      <c r="D30" s="62">
        <f>'386'!$C$4*('386'!$C$13+B30)</f>
        <v>75599.99999999999</v>
      </c>
      <c r="E30" s="47">
        <f>IF(('386'!$C$20+B30)&gt;=('386'!$C$22+'386'!$C$17+'386'!$C$18+'386'!$C$19),'386'!$C$4*('386'!$C$22+'386'!$C$17+'386'!$C$18+'386'!$C$19),IF(('386'!$C$20+B30)&lt;=('386'!$C$23+'386'!$C$19+'386'!$C$18+'386'!$C$17),'386'!$C$4*('386'!$C$23+'386'!$C$19+'386'!$C$18+'386'!$C$17),'386'!$C$4*('386'!$C$20+B30)))</f>
        <v>90200</v>
      </c>
      <c r="F30" s="62">
        <f aca="true" t="shared" si="0" ref="F30:F39">C30-E30</f>
        <v>8300</v>
      </c>
      <c r="G30" s="62">
        <f aca="true" t="shared" si="1" ref="G30:G39">D30-E30</f>
        <v>-14600.000000000015</v>
      </c>
    </row>
    <row r="31" spans="2:7" ht="12.75">
      <c r="B31" s="31">
        <v>-0.01</v>
      </c>
      <c r="C31" s="62">
        <f>'386'!$C$4*'386'!$C$8</f>
        <v>98500</v>
      </c>
      <c r="D31" s="62">
        <f>'386'!$C$4*('386'!$C$13+B31)</f>
        <v>85600</v>
      </c>
      <c r="E31" s="47">
        <f>IF(('386'!$C$20+B31)&gt;=('386'!$C$22+'386'!$C$17+'386'!$C$18+'386'!$C$19),'386'!$C$4*('386'!$C$22+'386'!$C$17+'386'!$C$18+'386'!$C$19),IF(('386'!$C$20+B31)&lt;=('386'!$C$23+'386'!$C$19+'386'!$C$18+'386'!$C$17),'386'!$C$4*('386'!$C$23+'386'!$C$19+'386'!$C$18+'386'!$C$17),'386'!$C$4*('386'!$C$20+B31)))</f>
        <v>90200</v>
      </c>
      <c r="F31" s="62">
        <f t="shared" si="0"/>
        <v>8300</v>
      </c>
      <c r="G31" s="62">
        <f t="shared" si="1"/>
        <v>-4600</v>
      </c>
    </row>
    <row r="32" spans="2:7" ht="12.75">
      <c r="B32" s="31">
        <v>-0.0081</v>
      </c>
      <c r="C32" s="62">
        <f>'386'!$C$4*'386'!$C$8</f>
        <v>98500</v>
      </c>
      <c r="D32" s="62">
        <f>'386'!$C$4*('386'!$C$13+B32)</f>
        <v>87500</v>
      </c>
      <c r="E32" s="47">
        <f>IF(('386'!$C$20+B32)&gt;=('386'!$C$22+'386'!$C$17+'386'!$C$18+'386'!$C$19),'386'!$C$4*('386'!$C$22+'386'!$C$17+'386'!$C$18+'386'!$C$19),IF(('386'!$C$20+B32)&lt;=('386'!$C$23+'386'!$C$19+'386'!$C$18+'386'!$C$17),'386'!$C$4*('386'!$C$23+'386'!$C$19+'386'!$C$18+'386'!$C$17),'386'!$C$4*('386'!$C$20+B32)))</f>
        <v>90200</v>
      </c>
      <c r="F32" s="62">
        <f t="shared" si="0"/>
        <v>8300</v>
      </c>
      <c r="G32" s="62">
        <f t="shared" si="1"/>
        <v>-2700</v>
      </c>
    </row>
    <row r="33" spans="2:7" ht="12.75">
      <c r="B33" s="31">
        <v>-0.005</v>
      </c>
      <c r="C33" s="62">
        <f>'386'!$C$4*'386'!$C$8</f>
        <v>98500</v>
      </c>
      <c r="D33" s="62">
        <f>'386'!$C$4*('386'!$C$13+B33)</f>
        <v>90599.99999999999</v>
      </c>
      <c r="E33" s="47">
        <f>IF(('386'!$C$20+B33)&gt;=('386'!$C$22+'386'!$C$17+'386'!$C$18+'386'!$C$19),'386'!$C$4*('386'!$C$22+'386'!$C$17+'386'!$C$18+'386'!$C$19),IF(('386'!$C$20+B33)&lt;=('386'!$C$23+'386'!$C$19+'386'!$C$18+'386'!$C$17),'386'!$C$4*('386'!$C$23+'386'!$C$19+'386'!$C$18+'386'!$C$17),'386'!$C$4*('386'!$C$20+B33)))</f>
        <v>93300</v>
      </c>
      <c r="F33" s="62">
        <f t="shared" si="0"/>
        <v>5200</v>
      </c>
      <c r="G33" s="62">
        <f t="shared" si="1"/>
        <v>-2700.0000000000146</v>
      </c>
    </row>
    <row r="34" spans="2:7" ht="12.75">
      <c r="B34" s="31">
        <v>0</v>
      </c>
      <c r="C34" s="62">
        <f>'386'!$C$4*'386'!$C$8</f>
        <v>98500</v>
      </c>
      <c r="D34" s="62">
        <f>'386'!$C$4*('386'!$C$13+B34)</f>
        <v>95599.99999999999</v>
      </c>
      <c r="E34" s="47">
        <f>IF(('386'!$C$20+B34)&gt;=('386'!$C$22+'386'!$C$17+'386'!$C$18+'386'!$C$19),'386'!$C$4*('386'!$C$22+'386'!$C$17+'386'!$C$18+'386'!$C$19),IF(('386'!$C$20+B34)&lt;=('386'!$C$23+'386'!$C$19+'386'!$C$18+'386'!$C$17),'386'!$C$4*('386'!$C$23+'386'!$C$19+'386'!$C$18+'386'!$C$17),'386'!$C$4*('386'!$C$20+B34)))</f>
        <v>98300</v>
      </c>
      <c r="F34" s="62">
        <f t="shared" si="0"/>
        <v>200</v>
      </c>
      <c r="G34" s="62">
        <f t="shared" si="1"/>
        <v>-2700.0000000000146</v>
      </c>
    </row>
    <row r="35" spans="2:7" ht="12.75">
      <c r="B35" s="31">
        <v>0.005</v>
      </c>
      <c r="C35" s="62">
        <f>'386'!$C$4*'386'!$C$8</f>
        <v>98500</v>
      </c>
      <c r="D35" s="62">
        <f>'386'!$C$4*('386'!$C$13+B35)</f>
        <v>100600</v>
      </c>
      <c r="E35" s="47">
        <f>IF(('386'!$C$20+B35)&gt;=('386'!$C$22+'386'!$C$17+'386'!$C$18+'386'!$C$19),'386'!$C$4*('386'!$C$22+'386'!$C$17+'386'!$C$18+'386'!$C$19),IF(('386'!$C$20+B35)&lt;=('386'!$C$23+'386'!$C$19+'386'!$C$18+'386'!$C$17),'386'!$C$4*('386'!$C$23+'386'!$C$19+'386'!$C$18+'386'!$C$17),'386'!$C$4*('386'!$C$20+B35)))</f>
        <v>103300</v>
      </c>
      <c r="F35" s="62">
        <f t="shared" si="0"/>
        <v>-4800</v>
      </c>
      <c r="G35" s="62">
        <f t="shared" si="1"/>
        <v>-2700</v>
      </c>
    </row>
    <row r="36" spans="2:7" ht="12.75">
      <c r="B36" s="31">
        <v>0.0069</v>
      </c>
      <c r="C36" s="62">
        <f>'386'!$C$4*'386'!$C$8</f>
        <v>98500</v>
      </c>
      <c r="D36" s="62">
        <f>'386'!$C$4*('386'!$C$13+B36)</f>
        <v>102500</v>
      </c>
      <c r="E36" s="47">
        <f>IF(('386'!$C$20+B36)&gt;=('386'!$C$22+'386'!$C$17+'386'!$C$18+'386'!$C$19),'386'!$C$4*('386'!$C$22+'386'!$C$17+'386'!$C$18+'386'!$C$19),IF(('386'!$C$20+B36)&lt;=('386'!$C$23+'386'!$C$19+'386'!$C$18+'386'!$C$17),'386'!$C$4*('386'!$C$23+'386'!$C$19+'386'!$C$18+'386'!$C$17),'386'!$C$4*('386'!$C$20+B36)))</f>
        <v>105200.00000000001</v>
      </c>
      <c r="F36" s="62">
        <f t="shared" si="0"/>
        <v>-6700.000000000015</v>
      </c>
      <c r="G36" s="62">
        <f t="shared" si="1"/>
        <v>-2700.0000000000146</v>
      </c>
    </row>
    <row r="37" spans="2:7" ht="12.75">
      <c r="B37" s="31">
        <v>0.01</v>
      </c>
      <c r="C37" s="62">
        <f>'386'!$C$4*'386'!$C$8</f>
        <v>98500</v>
      </c>
      <c r="D37" s="62">
        <f>'386'!$C$4*('386'!$C$13+B37)</f>
        <v>105599.99999999999</v>
      </c>
      <c r="E37" s="47">
        <f>IF(('386'!$C$20+B37)&gt;=('386'!$C$22+'386'!$C$17+'386'!$C$18+'386'!$C$19),'386'!$C$4*('386'!$C$22+'386'!$C$17+'386'!$C$18+'386'!$C$19),IF(('386'!$C$20+B37)&lt;=('386'!$C$23+'386'!$C$19+'386'!$C$18+'386'!$C$17),'386'!$C$4*('386'!$C$23+'386'!$C$19+'386'!$C$18+'386'!$C$17),'386'!$C$4*('386'!$C$20+B37)))</f>
        <v>105200.00000000001</v>
      </c>
      <c r="F37" s="62">
        <f t="shared" si="0"/>
        <v>-6700.000000000015</v>
      </c>
      <c r="G37" s="62">
        <f t="shared" si="1"/>
        <v>399.9999999999709</v>
      </c>
    </row>
    <row r="38" spans="2:7" ht="12.75">
      <c r="B38" s="31">
        <v>0.0121</v>
      </c>
      <c r="C38" s="62">
        <f>'386'!$C$4*'386'!$C$8</f>
        <v>98500</v>
      </c>
      <c r="D38" s="62">
        <f>'386'!$C$4*('386'!$C$13+B38)</f>
        <v>107699.99999999999</v>
      </c>
      <c r="E38" s="47">
        <f>IF(('386'!$C$20+B38)&gt;=('386'!$C$22+'386'!$C$17+'386'!$C$18+'386'!$C$19),'386'!$C$4*('386'!$C$22+'386'!$C$17+'386'!$C$18+'386'!$C$19),IF(('386'!$C$20+B38)&lt;=('386'!$C$23+'386'!$C$19+'386'!$C$18+'386'!$C$17),'386'!$C$4*('386'!$C$23+'386'!$C$19+'386'!$C$18+'386'!$C$17),'386'!$C$4*('386'!$C$20+B38)))</f>
        <v>105200.00000000001</v>
      </c>
      <c r="F38" s="62">
        <f t="shared" si="0"/>
        <v>-6700.000000000015</v>
      </c>
      <c r="G38" s="62">
        <f t="shared" si="1"/>
        <v>2499.999999999971</v>
      </c>
    </row>
    <row r="39" spans="2:7" ht="12.75">
      <c r="B39" s="31">
        <v>0.02</v>
      </c>
      <c r="C39" s="62">
        <f>'386'!$C$4*'386'!$C$8</f>
        <v>98500</v>
      </c>
      <c r="D39" s="62">
        <f>'386'!$C$4*('386'!$C$13+B39)</f>
        <v>115600</v>
      </c>
      <c r="E39" s="47">
        <f>IF(('386'!$C$20+B39)&gt;=('386'!$C$22+'386'!$C$17+'386'!$C$18+'386'!$C$19),'386'!$C$4*('386'!$C$22+'386'!$C$17+'386'!$C$18+'386'!$C$19),IF(('386'!$C$20+B39)&lt;=('386'!$C$23+'386'!$C$19+'386'!$C$18+'386'!$C$17),'386'!$C$4*('386'!$C$23+'386'!$C$19+'386'!$C$18+'386'!$C$17),'386'!$C$4*('386'!$C$20+B39)))</f>
        <v>105200.00000000001</v>
      </c>
      <c r="F39" s="62">
        <f t="shared" si="0"/>
        <v>-6700.000000000015</v>
      </c>
      <c r="G39" s="62">
        <f t="shared" si="1"/>
        <v>10399.999999999985</v>
      </c>
    </row>
    <row r="40" spans="2:7" ht="12.75">
      <c r="B40" s="31">
        <v>0.03</v>
      </c>
      <c r="C40" s="62">
        <f>'386'!$C$4*'386'!$C$8</f>
        <v>98500</v>
      </c>
      <c r="D40" s="62">
        <f>'386'!$C$4*('386'!$C$13+B40)</f>
        <v>125599.99999999999</v>
      </c>
      <c r="E40" s="47">
        <f>IF(('386'!$C$20+B40)&gt;=('386'!$C$22+'386'!$C$17+'386'!$C$18+'386'!$C$19),'386'!$C$4*('386'!$C$22+'386'!$C$17+'386'!$C$18+'386'!$C$19),IF(('386'!$C$20+B40)&lt;=('386'!$C$23+'386'!$C$19+'386'!$C$18+'386'!$C$17),'386'!$C$4*('386'!$C$23+'386'!$C$19+'386'!$C$18+'386'!$C$17),'386'!$C$4*('386'!$C$20+B40)))</f>
        <v>105200.00000000001</v>
      </c>
      <c r="F40" s="62">
        <f>C40-E40</f>
        <v>-6700.000000000015</v>
      </c>
      <c r="G40" s="62">
        <f>D40-E40</f>
        <v>20399.99999999997</v>
      </c>
    </row>
  </sheetData>
  <mergeCells count="2">
    <mergeCell ref="C27:E27"/>
    <mergeCell ref="F27:G27"/>
  </mergeCells>
  <printOptions/>
  <pageMargins left="0.75" right="0.75" top="1" bottom="1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Tabelle142"/>
  <dimension ref="B4:D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140625" style="46" customWidth="1"/>
    <col min="2" max="2" width="26.00390625" style="46" customWidth="1"/>
    <col min="3" max="3" width="12.140625" style="46" customWidth="1"/>
    <col min="4" max="16384" width="14.140625" style="46" customWidth="1"/>
  </cols>
  <sheetData>
    <row r="4" spans="2:4" ht="12.75">
      <c r="B4" s="45" t="s">
        <v>412</v>
      </c>
      <c r="C4" s="64">
        <v>5000000</v>
      </c>
      <c r="D4" s="45" t="s">
        <v>106</v>
      </c>
    </row>
    <row r="5" spans="2:4" ht="25.5">
      <c r="B5" s="45" t="s">
        <v>409</v>
      </c>
      <c r="C5" s="65">
        <v>0.085</v>
      </c>
      <c r="D5" s="45"/>
    </row>
    <row r="6" spans="2:4" ht="38.25">
      <c r="B6" s="45" t="s">
        <v>410</v>
      </c>
      <c r="C6" s="66">
        <v>0.09</v>
      </c>
      <c r="D6" s="45"/>
    </row>
    <row r="7" spans="2:4" ht="25.5">
      <c r="B7" s="45" t="s">
        <v>411</v>
      </c>
      <c r="C7" s="45">
        <v>180</v>
      </c>
      <c r="D7" s="45" t="s">
        <v>152</v>
      </c>
    </row>
    <row r="11" spans="2:4" ht="12.75">
      <c r="B11" s="2" t="s">
        <v>408</v>
      </c>
      <c r="C11" s="21">
        <f>(('387'!$C$4*('387'!$C$5*100-'387'!$C$6*100)*'387'!$C$7)/((360*100)+('387'!$C$6*100*'387'!$C$7)))</f>
        <v>-11961.722488038278</v>
      </c>
      <c r="D11" s="2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Tabelle143"/>
  <dimension ref="B4:F2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4.421875" style="0" customWidth="1"/>
    <col min="3" max="3" width="8.28125" style="0" customWidth="1"/>
    <col min="4" max="4" width="18.00390625" style="0" customWidth="1"/>
    <col min="6" max="6" width="16.57421875" style="0" customWidth="1"/>
  </cols>
  <sheetData>
    <row r="4" spans="2:3" ht="12.75">
      <c r="B4" s="3" t="s">
        <v>414</v>
      </c>
      <c r="C4" s="3"/>
    </row>
    <row r="5" spans="2:3" ht="12.75">
      <c r="B5" s="40" t="s">
        <v>416</v>
      </c>
      <c r="C5" s="28">
        <v>0.1025</v>
      </c>
    </row>
    <row r="6" spans="2:4" ht="12.75">
      <c r="B6" s="40" t="s">
        <v>366</v>
      </c>
      <c r="C6" s="28">
        <v>0.005</v>
      </c>
      <c r="D6" s="67" t="s">
        <v>417</v>
      </c>
    </row>
    <row r="8" spans="2:4" ht="12.75">
      <c r="B8" s="3" t="s">
        <v>415</v>
      </c>
      <c r="C8" s="3"/>
      <c r="D8" s="3"/>
    </row>
    <row r="9" spans="2:4" ht="12.75">
      <c r="B9" s="40" t="s">
        <v>416</v>
      </c>
      <c r="C9" s="28">
        <v>0.1175</v>
      </c>
      <c r="D9" s="3"/>
    </row>
    <row r="10" spans="2:4" ht="12.75">
      <c r="B10" s="40" t="s">
        <v>366</v>
      </c>
      <c r="C10" s="28">
        <v>0.01</v>
      </c>
      <c r="D10" s="67" t="s">
        <v>417</v>
      </c>
    </row>
    <row r="14" spans="2:6" ht="12.75">
      <c r="B14" s="2" t="s">
        <v>418</v>
      </c>
      <c r="C14" s="2" t="s">
        <v>419</v>
      </c>
      <c r="D14" s="2"/>
      <c r="E14" s="2" t="s">
        <v>420</v>
      </c>
      <c r="F14" s="2"/>
    </row>
    <row r="15" spans="2:6" ht="12.75">
      <c r="B15" s="31"/>
      <c r="C15" s="2"/>
      <c r="D15" s="2"/>
      <c r="E15" s="2"/>
      <c r="F15" s="2"/>
    </row>
    <row r="16" spans="2:6" ht="12.75">
      <c r="B16" s="2" t="s">
        <v>421</v>
      </c>
      <c r="C16" s="2"/>
      <c r="D16" s="2"/>
      <c r="E16" s="2"/>
      <c r="F16" s="2"/>
    </row>
    <row r="17" spans="2:6" ht="12.75">
      <c r="B17" s="68" t="s">
        <v>422</v>
      </c>
      <c r="C17" s="31">
        <f>-'389'!$C$5</f>
        <v>-0.1025</v>
      </c>
      <c r="D17" s="31"/>
      <c r="E17" s="2"/>
      <c r="F17" s="2"/>
    </row>
    <row r="18" spans="2:6" ht="12.75">
      <c r="B18" s="68" t="s">
        <v>413</v>
      </c>
      <c r="C18" s="2"/>
      <c r="D18" s="2"/>
      <c r="E18" s="31">
        <f>-'389'!$C$10</f>
        <v>-0.01</v>
      </c>
      <c r="F18" s="91" t="s">
        <v>427</v>
      </c>
    </row>
    <row r="19" spans="2:6" ht="12.75">
      <c r="B19" s="2" t="s">
        <v>423</v>
      </c>
      <c r="C19" s="2"/>
      <c r="D19" s="2"/>
      <c r="E19" s="2"/>
      <c r="F19" s="2"/>
    </row>
    <row r="20" spans="2:6" ht="12.75">
      <c r="B20" s="69" t="s">
        <v>422</v>
      </c>
      <c r="C20" s="31">
        <f>'389'!$C$5</f>
        <v>0.1025</v>
      </c>
      <c r="D20" s="31"/>
      <c r="E20" s="31">
        <f>-'389'!$C$5</f>
        <v>-0.1025</v>
      </c>
      <c r="F20" s="2"/>
    </row>
    <row r="21" spans="2:6" ht="12.75">
      <c r="B21" s="68" t="s">
        <v>413</v>
      </c>
      <c r="C21" s="31">
        <v>0</v>
      </c>
      <c r="D21" s="91" t="s">
        <v>427</v>
      </c>
      <c r="E21" s="31">
        <v>0</v>
      </c>
      <c r="F21" s="91" t="s">
        <v>427</v>
      </c>
    </row>
    <row r="22" spans="2:6" ht="12.75">
      <c r="B22" s="2"/>
      <c r="C22" s="2"/>
      <c r="D22" s="2"/>
      <c r="E22" s="2"/>
      <c r="F22" s="2"/>
    </row>
    <row r="23" spans="2:6" ht="12.75">
      <c r="B23" s="31" t="s">
        <v>424</v>
      </c>
      <c r="C23" s="31">
        <f>-C21+C20+C18+C17</f>
        <v>0</v>
      </c>
      <c r="D23" s="91" t="s">
        <v>427</v>
      </c>
      <c r="E23" s="31">
        <f>E21+E20+E18+E17</f>
        <v>-0.11249999999999999</v>
      </c>
      <c r="F23" s="2"/>
    </row>
    <row r="24" spans="2:6" ht="12.75">
      <c r="B24" s="31" t="s">
        <v>425</v>
      </c>
      <c r="C24" s="31">
        <f>-'389'!$C$6</f>
        <v>-0.005</v>
      </c>
      <c r="D24" s="91" t="s">
        <v>427</v>
      </c>
      <c r="E24" s="31">
        <f>-'389'!$C$9</f>
        <v>-0.1175</v>
      </c>
      <c r="F24" s="2"/>
    </row>
    <row r="25" spans="2:6" ht="12.75">
      <c r="B25" s="2"/>
      <c r="C25" s="2"/>
      <c r="D25" s="2"/>
      <c r="E25" s="2"/>
      <c r="F25" s="2"/>
    </row>
    <row r="26" spans="2:6" ht="12.75">
      <c r="B26" s="2" t="s">
        <v>426</v>
      </c>
      <c r="C26" s="31">
        <f>C23-C24</f>
        <v>0.005</v>
      </c>
      <c r="D26" s="31"/>
      <c r="E26" s="31">
        <f>E23-E24</f>
        <v>0.0050000000000000044</v>
      </c>
      <c r="F26" s="2"/>
    </row>
  </sheetData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Tabelle144"/>
  <dimension ref="B4:J18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10.8515625" style="0" customWidth="1"/>
    <col min="5" max="5" width="8.28125" style="0" customWidth="1"/>
    <col min="7" max="7" width="7.28125" style="0" customWidth="1"/>
    <col min="8" max="8" width="3.00390625" style="0" customWidth="1"/>
    <col min="9" max="9" width="8.8515625" style="0" customWidth="1"/>
    <col min="10" max="10" width="8.140625" style="0" customWidth="1"/>
  </cols>
  <sheetData>
    <row r="4" spans="2:4" ht="12.75">
      <c r="B4" s="3" t="s">
        <v>369</v>
      </c>
      <c r="C4" s="27">
        <v>10000000</v>
      </c>
      <c r="D4" s="3" t="s">
        <v>106</v>
      </c>
    </row>
    <row r="5" spans="2:4" ht="12.75">
      <c r="B5" s="3" t="s">
        <v>428</v>
      </c>
      <c r="C5" s="28">
        <v>0.095</v>
      </c>
      <c r="D5" s="3"/>
    </row>
    <row r="6" spans="2:4" ht="12.75">
      <c r="B6" s="3" t="s">
        <v>330</v>
      </c>
      <c r="C6" s="3">
        <v>4</v>
      </c>
      <c r="D6" s="3"/>
    </row>
    <row r="7" spans="2:4" ht="12.75">
      <c r="B7" s="3"/>
      <c r="C7" s="3"/>
      <c r="D7" s="3"/>
    </row>
    <row r="8" spans="2:4" ht="12.75">
      <c r="B8" s="3" t="s">
        <v>429</v>
      </c>
      <c r="C8" s="28">
        <v>0.0925</v>
      </c>
      <c r="D8" s="3"/>
    </row>
    <row r="9" spans="2:4" ht="12.75">
      <c r="B9" s="3" t="s">
        <v>430</v>
      </c>
      <c r="C9" s="3">
        <v>1</v>
      </c>
      <c r="D9" s="3"/>
    </row>
    <row r="13" spans="2:10" ht="12.75">
      <c r="B13" s="70">
        <f>'390'!$C$5</f>
        <v>0.095</v>
      </c>
      <c r="C13" s="2" t="s">
        <v>431</v>
      </c>
      <c r="D13" s="47">
        <f>'390'!$C$4</f>
        <v>10000000</v>
      </c>
      <c r="E13" s="2" t="s">
        <v>106</v>
      </c>
      <c r="F13" s="2"/>
      <c r="G13" s="2"/>
      <c r="H13" s="2"/>
      <c r="I13" s="47">
        <f>D13*B13</f>
        <v>950000</v>
      </c>
      <c r="J13" s="2" t="s">
        <v>106</v>
      </c>
    </row>
    <row r="14" spans="2:10" ht="12.75">
      <c r="B14" s="72">
        <f>'390'!$C$8</f>
        <v>0.0925</v>
      </c>
      <c r="C14" s="73" t="s">
        <v>431</v>
      </c>
      <c r="D14" s="74">
        <f>'390'!$C$4</f>
        <v>10000000</v>
      </c>
      <c r="E14" s="73" t="s">
        <v>106</v>
      </c>
      <c r="F14" s="73"/>
      <c r="G14" s="73"/>
      <c r="H14" s="73"/>
      <c r="I14" s="74">
        <f>D14*B14</f>
        <v>925000</v>
      </c>
      <c r="J14" s="73" t="s">
        <v>106</v>
      </c>
    </row>
    <row r="15" spans="2:10" ht="12.75">
      <c r="B15" s="71"/>
      <c r="C15" s="2"/>
      <c r="D15" s="2"/>
      <c r="E15" s="2"/>
      <c r="F15" s="2"/>
      <c r="G15" s="2"/>
      <c r="H15" s="2"/>
      <c r="I15" s="2"/>
      <c r="J15" s="2"/>
    </row>
    <row r="16" spans="2:10" ht="12.75">
      <c r="B16" s="75" t="s">
        <v>358</v>
      </c>
      <c r="C16" s="73"/>
      <c r="D16" s="73"/>
      <c r="E16" s="73"/>
      <c r="F16" s="73"/>
      <c r="G16" s="73"/>
      <c r="H16" s="73"/>
      <c r="I16" s="74">
        <f>I13-I14</f>
        <v>25000</v>
      </c>
      <c r="J16" s="73" t="s">
        <v>106</v>
      </c>
    </row>
    <row r="17" spans="2:10" ht="12.75">
      <c r="B17" s="71"/>
      <c r="C17" s="2"/>
      <c r="D17" s="2"/>
      <c r="E17" s="2"/>
      <c r="F17" s="2"/>
      <c r="G17" s="2"/>
      <c r="H17" s="2"/>
      <c r="I17" s="2"/>
      <c r="J17" s="2"/>
    </row>
    <row r="18" spans="2:10" ht="12.75">
      <c r="B18" s="71" t="s">
        <v>432</v>
      </c>
      <c r="C18" s="2">
        <f>'390'!$C$6-'390'!$C$9</f>
        <v>3</v>
      </c>
      <c r="D18" s="2" t="s">
        <v>433</v>
      </c>
      <c r="E18" s="47">
        <f>$I$16</f>
        <v>25000</v>
      </c>
      <c r="F18" s="2" t="s">
        <v>434</v>
      </c>
      <c r="G18" s="31">
        <f>'390'!$C$8</f>
        <v>0.0925</v>
      </c>
      <c r="H18" s="2"/>
      <c r="I18" s="47">
        <f>$E$18*(((1+$G$18)^$C$18)-1)/(((1+$G$18)^$C$18)*$G$18)</f>
        <v>63001.46741681261</v>
      </c>
      <c r="J18" s="2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Tabelle145"/>
  <dimension ref="B4:I19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28125" style="0" customWidth="1"/>
    <col min="4" max="4" width="14.140625" style="0" customWidth="1"/>
    <col min="5" max="5" width="15.7109375" style="0" customWidth="1"/>
    <col min="6" max="6" width="10.7109375" style="0" customWidth="1"/>
    <col min="7" max="7" width="14.28125" style="0" customWidth="1"/>
    <col min="8" max="8" width="12.8515625" style="0" customWidth="1"/>
    <col min="9" max="9" width="20.28125" style="0" customWidth="1"/>
  </cols>
  <sheetData>
    <row r="4" spans="2:4" ht="12.75">
      <c r="B4" s="3" t="s">
        <v>435</v>
      </c>
      <c r="C4" s="27">
        <v>100000</v>
      </c>
      <c r="D4" s="3" t="s">
        <v>106</v>
      </c>
    </row>
    <row r="5" spans="2:3" ht="12.75">
      <c r="B5" s="3" t="s">
        <v>436</v>
      </c>
      <c r="C5" s="20">
        <v>0.4</v>
      </c>
    </row>
    <row r="6" spans="2:3" ht="12.75">
      <c r="B6" s="3" t="s">
        <v>437</v>
      </c>
      <c r="C6" s="20">
        <v>0.2</v>
      </c>
    </row>
    <row r="7" spans="2:7" ht="12.75">
      <c r="B7" s="3"/>
      <c r="C7" s="3"/>
      <c r="G7" s="6"/>
    </row>
    <row r="8" spans="2:3" ht="12.75">
      <c r="B8" s="3" t="s">
        <v>174</v>
      </c>
      <c r="C8" s="20">
        <v>0.1</v>
      </c>
    </row>
    <row r="12" spans="2:9" ht="12.75">
      <c r="B12" s="37"/>
      <c r="C12" s="60"/>
      <c r="D12" s="150" t="s">
        <v>438</v>
      </c>
      <c r="E12" s="150"/>
      <c r="F12" s="60"/>
      <c r="G12" s="60"/>
      <c r="H12" s="76"/>
      <c r="I12" s="60"/>
    </row>
    <row r="13" spans="2:9" ht="44.25" customHeight="1">
      <c r="B13" s="37"/>
      <c r="C13" s="60" t="s">
        <v>158</v>
      </c>
      <c r="D13" s="60" t="s">
        <v>440</v>
      </c>
      <c r="E13" s="60" t="s">
        <v>441</v>
      </c>
      <c r="F13" s="60" t="s">
        <v>442</v>
      </c>
      <c r="G13" s="60" t="s">
        <v>443</v>
      </c>
      <c r="H13" s="60" t="s">
        <v>439</v>
      </c>
      <c r="I13" s="60" t="s">
        <v>444</v>
      </c>
    </row>
    <row r="14" spans="2:9" ht="12.75">
      <c r="B14" s="37">
        <v>1</v>
      </c>
      <c r="C14" s="109">
        <v>37256</v>
      </c>
      <c r="D14" s="84">
        <f>'408'!$C$4*(100%-'408'!$C$5)</f>
        <v>60000</v>
      </c>
      <c r="E14" s="84">
        <f>'408'!$C$4*'408'!$C$6</f>
        <v>20000</v>
      </c>
      <c r="F14" s="84">
        <f>D14-E14</f>
        <v>40000</v>
      </c>
      <c r="G14" s="84">
        <f>'408'!$C$5*F14</f>
        <v>16000</v>
      </c>
      <c r="H14" s="77">
        <f>1/(1+'408'!$C$8)^B14</f>
        <v>0.9090909090909091</v>
      </c>
      <c r="I14" s="84">
        <f>G14*H14</f>
        <v>14545.454545454544</v>
      </c>
    </row>
    <row r="15" spans="2:9" ht="12.75">
      <c r="B15" s="37">
        <v>2</v>
      </c>
      <c r="C15" s="109">
        <v>37621</v>
      </c>
      <c r="D15" s="84">
        <f>('408'!$C$4-$D$14)/4</f>
        <v>10000</v>
      </c>
      <c r="E15" s="84">
        <f>'408'!$C$4*'408'!$C$6</f>
        <v>20000</v>
      </c>
      <c r="F15" s="84">
        <f>D15-E15</f>
        <v>-10000</v>
      </c>
      <c r="G15" s="84">
        <f>'408'!$C$5*F15</f>
        <v>-4000</v>
      </c>
      <c r="H15" s="77">
        <f>1/(1+'408'!$C$8)^B15</f>
        <v>0.8264462809917354</v>
      </c>
      <c r="I15" s="84">
        <f>G15*H15</f>
        <v>-3305.7851239669417</v>
      </c>
    </row>
    <row r="16" spans="2:9" ht="12.75">
      <c r="B16" s="37">
        <v>3</v>
      </c>
      <c r="C16" s="109">
        <v>37986</v>
      </c>
      <c r="D16" s="84">
        <f>('408'!$C$4-$D$14)/4</f>
        <v>10000</v>
      </c>
      <c r="E16" s="84">
        <f>'408'!$C$4*'408'!$C$6</f>
        <v>20000</v>
      </c>
      <c r="F16" s="84">
        <f>D16-E16</f>
        <v>-10000</v>
      </c>
      <c r="G16" s="84">
        <f>'408'!$C$5*F16</f>
        <v>-4000</v>
      </c>
      <c r="H16" s="77">
        <f>1/(1+'408'!$C$8)^B16</f>
        <v>0.7513148009015775</v>
      </c>
      <c r="I16" s="84">
        <f>G16*H16</f>
        <v>-3005.25920360631</v>
      </c>
    </row>
    <row r="17" spans="2:9" ht="12.75">
      <c r="B17" s="37">
        <v>4</v>
      </c>
      <c r="C17" s="109">
        <v>38352</v>
      </c>
      <c r="D17" s="84">
        <f>('408'!$C$4-$D$14)/4</f>
        <v>10000</v>
      </c>
      <c r="E17" s="84">
        <f>'408'!$C$4*'408'!$C$6</f>
        <v>20000</v>
      </c>
      <c r="F17" s="84">
        <f>D17-E17</f>
        <v>-10000</v>
      </c>
      <c r="G17" s="84">
        <f>'408'!$C$5*F17</f>
        <v>-4000</v>
      </c>
      <c r="H17" s="77">
        <f>1/(1+'408'!$C$8)^B17</f>
        <v>0.6830134553650705</v>
      </c>
      <c r="I17" s="84">
        <f>G17*H17</f>
        <v>-2732.053821460282</v>
      </c>
    </row>
    <row r="18" spans="2:9" ht="12.75">
      <c r="B18" s="37">
        <v>5</v>
      </c>
      <c r="C18" s="109">
        <v>38717</v>
      </c>
      <c r="D18" s="102">
        <f>('408'!$C$4-$D$14)/4</f>
        <v>10000</v>
      </c>
      <c r="E18" s="102">
        <f>'408'!$C$4*'408'!$C$6</f>
        <v>20000</v>
      </c>
      <c r="F18" s="84">
        <f>D18-E18</f>
        <v>-10000</v>
      </c>
      <c r="G18" s="84">
        <f>'408'!$C$5*F18</f>
        <v>-4000</v>
      </c>
      <c r="H18" s="77">
        <f>1/(1+'408'!$C$8)^B18</f>
        <v>0.6209213230591549</v>
      </c>
      <c r="I18" s="102">
        <f>G18*H18</f>
        <v>-2483.6852922366197</v>
      </c>
    </row>
    <row r="19" spans="2:9" ht="12.75">
      <c r="B19" s="37"/>
      <c r="C19" s="37"/>
      <c r="D19" s="84">
        <f>SUM(D14:D18)</f>
        <v>100000</v>
      </c>
      <c r="E19" s="84">
        <f>SUM(E14:E18)</f>
        <v>100000</v>
      </c>
      <c r="F19" s="84"/>
      <c r="G19" s="84"/>
      <c r="H19" s="37"/>
      <c r="I19" s="84">
        <f>SUM(I14:I18)</f>
        <v>3018.67110418439</v>
      </c>
    </row>
  </sheetData>
  <mergeCells count="1">
    <mergeCell ref="D12:E12"/>
  </mergeCells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Tabelle84"/>
  <dimension ref="B4:M14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6.8515625" style="0" customWidth="1"/>
    <col min="3" max="3" width="0.71875" style="0" customWidth="1"/>
  </cols>
  <sheetData>
    <row r="4" spans="2:13" ht="12.75">
      <c r="B4" s="2"/>
      <c r="C4" s="2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</row>
    <row r="5" spans="2:13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" customHeight="1">
      <c r="B6" s="2">
        <v>1</v>
      </c>
      <c r="C6" s="2"/>
      <c r="D6" s="2">
        <v>50</v>
      </c>
      <c r="E6" s="2">
        <v>50</v>
      </c>
      <c r="F6" s="2">
        <v>50</v>
      </c>
      <c r="G6" s="2">
        <v>50</v>
      </c>
      <c r="H6" s="2">
        <v>50</v>
      </c>
      <c r="I6" s="2">
        <v>50</v>
      </c>
      <c r="J6" s="2">
        <v>50</v>
      </c>
      <c r="K6" s="2">
        <v>50</v>
      </c>
      <c r="L6" s="2">
        <v>50</v>
      </c>
      <c r="M6" s="2">
        <v>50</v>
      </c>
    </row>
    <row r="7" spans="2:13" ht="12.75">
      <c r="B7" s="2">
        <v>2</v>
      </c>
      <c r="C7" s="2"/>
      <c r="D7" s="2"/>
      <c r="E7" s="2">
        <v>50</v>
      </c>
      <c r="F7" s="2">
        <v>50</v>
      </c>
      <c r="G7" s="2">
        <v>50</v>
      </c>
      <c r="H7" s="2">
        <v>50</v>
      </c>
      <c r="I7" s="2">
        <v>50</v>
      </c>
      <c r="J7" s="2">
        <v>50</v>
      </c>
      <c r="K7" s="2">
        <v>50</v>
      </c>
      <c r="L7" s="2">
        <v>50</v>
      </c>
      <c r="M7" s="2">
        <v>50</v>
      </c>
    </row>
    <row r="8" spans="2:13" ht="12.75">
      <c r="B8" s="2">
        <v>3</v>
      </c>
      <c r="C8" s="2"/>
      <c r="D8" s="2"/>
      <c r="E8" s="2"/>
      <c r="F8" s="2">
        <v>50</v>
      </c>
      <c r="G8" s="2">
        <v>50</v>
      </c>
      <c r="H8" s="2">
        <v>50</v>
      </c>
      <c r="I8" s="2">
        <v>50</v>
      </c>
      <c r="J8" s="2">
        <v>50</v>
      </c>
      <c r="K8" s="2">
        <v>50</v>
      </c>
      <c r="L8" s="2">
        <v>50</v>
      </c>
      <c r="M8" s="2">
        <v>50</v>
      </c>
    </row>
    <row r="9" spans="2:13" ht="12.75">
      <c r="B9" s="2">
        <v>4</v>
      </c>
      <c r="C9" s="2"/>
      <c r="D9" s="2"/>
      <c r="E9" s="2"/>
      <c r="F9" s="2"/>
      <c r="G9" s="2">
        <v>50</v>
      </c>
      <c r="H9" s="2">
        <v>50</v>
      </c>
      <c r="I9" s="2">
        <v>50</v>
      </c>
      <c r="J9" s="2">
        <v>50</v>
      </c>
      <c r="K9" s="2">
        <v>50</v>
      </c>
      <c r="L9" s="2">
        <v>50</v>
      </c>
      <c r="M9" s="2">
        <v>50</v>
      </c>
    </row>
    <row r="10" spans="2:13" ht="12.75">
      <c r="B10" s="2">
        <v>5</v>
      </c>
      <c r="C10" s="2"/>
      <c r="D10" s="2"/>
      <c r="E10" s="2"/>
      <c r="F10" s="2"/>
      <c r="G10" s="2"/>
      <c r="H10" s="2">
        <v>50</v>
      </c>
      <c r="I10" s="2">
        <v>50</v>
      </c>
      <c r="J10" s="2">
        <v>50</v>
      </c>
      <c r="K10" s="2">
        <v>50</v>
      </c>
      <c r="L10" s="2">
        <v>50</v>
      </c>
      <c r="M10" s="2">
        <v>50</v>
      </c>
    </row>
    <row r="11" spans="2:13" ht="12.75">
      <c r="B11" s="2" t="s">
        <v>159</v>
      </c>
      <c r="C11" s="2"/>
      <c r="D11" s="2">
        <f>SUM(D6:D10)</f>
        <v>50</v>
      </c>
      <c r="E11" s="2">
        <f aca="true" t="shared" si="0" ref="E11:M11">SUM(E6:E10)</f>
        <v>100</v>
      </c>
      <c r="F11" s="2">
        <f t="shared" si="0"/>
        <v>150</v>
      </c>
      <c r="G11" s="2">
        <f t="shared" si="0"/>
        <v>200</v>
      </c>
      <c r="H11" s="2">
        <f t="shared" si="0"/>
        <v>250</v>
      </c>
      <c r="I11" s="2">
        <f t="shared" si="0"/>
        <v>250</v>
      </c>
      <c r="J11" s="2">
        <f t="shared" si="0"/>
        <v>250</v>
      </c>
      <c r="K11" s="2">
        <f t="shared" si="0"/>
        <v>250</v>
      </c>
      <c r="L11" s="2">
        <f t="shared" si="0"/>
        <v>250</v>
      </c>
      <c r="M11" s="2">
        <f t="shared" si="0"/>
        <v>250</v>
      </c>
    </row>
    <row r="12" spans="2:13" ht="12.75">
      <c r="B12" s="2" t="s">
        <v>595</v>
      </c>
      <c r="C12" s="2"/>
      <c r="D12" s="2">
        <f>D11</f>
        <v>50</v>
      </c>
      <c r="E12" s="2">
        <f>D12+E11-D13</f>
        <v>150</v>
      </c>
      <c r="F12" s="2">
        <f aca="true" t="shared" si="1" ref="F12:M12">E12+F11-E13</f>
        <v>300</v>
      </c>
      <c r="G12" s="2">
        <f t="shared" si="1"/>
        <v>500</v>
      </c>
      <c r="H12" s="2">
        <f t="shared" si="1"/>
        <v>750</v>
      </c>
      <c r="I12" s="2">
        <f t="shared" si="1"/>
        <v>750</v>
      </c>
      <c r="J12" s="2">
        <f t="shared" si="1"/>
        <v>750</v>
      </c>
      <c r="K12" s="2">
        <f t="shared" si="1"/>
        <v>750</v>
      </c>
      <c r="L12" s="2">
        <f t="shared" si="1"/>
        <v>750</v>
      </c>
      <c r="M12" s="2">
        <f t="shared" si="1"/>
        <v>750</v>
      </c>
    </row>
    <row r="13" spans="2:13" ht="12.75">
      <c r="B13" s="91" t="s">
        <v>160</v>
      </c>
      <c r="C13" s="91"/>
      <c r="D13" s="2"/>
      <c r="E13" s="2"/>
      <c r="F13" s="2"/>
      <c r="G13" s="2"/>
      <c r="H13" s="2">
        <v>250</v>
      </c>
      <c r="I13" s="2">
        <v>250</v>
      </c>
      <c r="J13" s="2">
        <v>250</v>
      </c>
      <c r="K13" s="2">
        <v>250</v>
      </c>
      <c r="L13" s="2">
        <v>250</v>
      </c>
      <c r="M13" s="2">
        <v>250</v>
      </c>
    </row>
    <row r="14" spans="2:13" ht="12.75">
      <c r="B14" s="2" t="s">
        <v>161</v>
      </c>
      <c r="C14" s="2"/>
      <c r="D14" s="2">
        <f>D12-D13</f>
        <v>50</v>
      </c>
      <c r="E14" s="2">
        <f aca="true" t="shared" si="2" ref="E14:M14">E12-E13</f>
        <v>150</v>
      </c>
      <c r="F14" s="2">
        <f t="shared" si="2"/>
        <v>300</v>
      </c>
      <c r="G14" s="2">
        <f t="shared" si="2"/>
        <v>500</v>
      </c>
      <c r="H14" s="2">
        <f t="shared" si="2"/>
        <v>500</v>
      </c>
      <c r="I14" s="2">
        <f t="shared" si="2"/>
        <v>500</v>
      </c>
      <c r="J14" s="2">
        <f t="shared" si="2"/>
        <v>500</v>
      </c>
      <c r="K14" s="2">
        <f t="shared" si="2"/>
        <v>500</v>
      </c>
      <c r="L14" s="2">
        <f t="shared" si="2"/>
        <v>500</v>
      </c>
      <c r="M14" s="2">
        <f t="shared" si="2"/>
        <v>500</v>
      </c>
    </row>
  </sheetData>
  <printOptions/>
  <pageMargins left="0.75" right="0.75" top="1" bottom="1" header="0.4921259845" footer="0.4921259845"/>
  <pageSetup orientation="portrait" paperSize="9"/>
  <ignoredErrors>
    <ignoredError sqref="D11:M11" formulaRange="1"/>
  </ignoredErrors>
</worksheet>
</file>

<file path=xl/worksheets/sheet78.xml><?xml version="1.0" encoding="utf-8"?>
<worksheet xmlns="http://schemas.openxmlformats.org/spreadsheetml/2006/main" xmlns:r="http://schemas.openxmlformats.org/officeDocument/2006/relationships">
  <sheetPr codeName="Tabelle146"/>
  <dimension ref="B4:J14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33.8515625" style="0" customWidth="1"/>
    <col min="3" max="3" width="8.57421875" style="0" customWidth="1"/>
    <col min="4" max="4" width="9.00390625" style="0" customWidth="1"/>
    <col min="5" max="5" width="8.28125" style="0" customWidth="1"/>
    <col min="6" max="6" width="8.8515625" style="0" customWidth="1"/>
    <col min="7" max="8" width="9.140625" style="0" customWidth="1"/>
    <col min="9" max="9" width="8.57421875" style="0" customWidth="1"/>
    <col min="10" max="10" width="8.421875" style="0" customWidth="1"/>
  </cols>
  <sheetData>
    <row r="4" spans="2:3" ht="12.75">
      <c r="B4" s="3" t="s">
        <v>450</v>
      </c>
      <c r="C4" s="3">
        <v>5</v>
      </c>
    </row>
    <row r="5" spans="3:10" ht="12.75">
      <c r="C5" s="13"/>
      <c r="D5" s="13"/>
      <c r="E5" s="13"/>
      <c r="F5" s="13"/>
      <c r="G5" s="13"/>
      <c r="H5" s="13"/>
      <c r="I5" s="13"/>
      <c r="J5" s="13"/>
    </row>
    <row r="8" spans="2:10" ht="12.75">
      <c r="B8" s="37" t="s">
        <v>445</v>
      </c>
      <c r="C8" s="37">
        <f>'416'!$C$4</f>
        <v>5</v>
      </c>
      <c r="D8" s="45"/>
      <c r="E8" s="45"/>
      <c r="F8" s="45"/>
      <c r="G8" s="45"/>
      <c r="H8" s="45"/>
      <c r="I8" s="45"/>
      <c r="J8" s="45"/>
    </row>
    <row r="9" spans="2:10" ht="12.75">
      <c r="B9" s="37" t="s">
        <v>447</v>
      </c>
      <c r="C9" s="77">
        <f>2*(C8/(C8+1))</f>
        <v>1.6666666666666667</v>
      </c>
      <c r="D9" s="45"/>
      <c r="E9" s="45"/>
      <c r="F9" s="45"/>
      <c r="G9" s="45"/>
      <c r="H9" s="45"/>
      <c r="I9" s="45"/>
      <c r="J9" s="45"/>
    </row>
    <row r="10" spans="2:10" ht="12.75">
      <c r="B10" s="45"/>
      <c r="C10" s="45"/>
      <c r="D10" s="45"/>
      <c r="E10" s="45"/>
      <c r="F10" s="45"/>
      <c r="G10" s="45"/>
      <c r="H10" s="45"/>
      <c r="I10" s="45"/>
      <c r="J10" s="45"/>
    </row>
    <row r="11" spans="2:10" ht="12.75">
      <c r="B11" s="37" t="s">
        <v>449</v>
      </c>
      <c r="C11" s="37">
        <v>1</v>
      </c>
      <c r="D11" s="37">
        <v>2</v>
      </c>
      <c r="E11" s="37">
        <v>5</v>
      </c>
      <c r="F11" s="37">
        <v>10</v>
      </c>
      <c r="G11" s="37">
        <v>20</v>
      </c>
      <c r="H11" s="37">
        <v>50</v>
      </c>
      <c r="I11" s="37">
        <v>100</v>
      </c>
      <c r="J11" s="37">
        <v>200</v>
      </c>
    </row>
    <row r="12" spans="2:10" ht="12.75">
      <c r="B12" s="37" t="s">
        <v>448</v>
      </c>
      <c r="C12" s="37">
        <v>5</v>
      </c>
      <c r="D12" s="37">
        <v>2.5</v>
      </c>
      <c r="E12" s="37">
        <v>1</v>
      </c>
      <c r="F12" s="37">
        <v>0.5</v>
      </c>
      <c r="G12" s="37">
        <v>0.25</v>
      </c>
      <c r="H12" s="110">
        <v>0.1</v>
      </c>
      <c r="I12" s="37">
        <v>0.05</v>
      </c>
      <c r="J12" s="37">
        <v>0.025</v>
      </c>
    </row>
    <row r="13" spans="2:10" ht="12.75">
      <c r="B13" s="37" t="s">
        <v>450</v>
      </c>
      <c r="C13" s="37">
        <v>1</v>
      </c>
      <c r="D13" s="37">
        <v>2</v>
      </c>
      <c r="E13" s="37">
        <v>5</v>
      </c>
      <c r="F13" s="37">
        <v>10</v>
      </c>
      <c r="G13" s="37">
        <v>20</v>
      </c>
      <c r="H13" s="37">
        <v>50</v>
      </c>
      <c r="I13" s="37">
        <v>100</v>
      </c>
      <c r="J13" s="37">
        <v>200</v>
      </c>
    </row>
    <row r="14" spans="2:10" ht="12.75">
      <c r="B14" s="37" t="s">
        <v>447</v>
      </c>
      <c r="C14" s="77">
        <f aca="true" t="shared" si="0" ref="C14:J14">2*(C13/(C13+1))</f>
        <v>1</v>
      </c>
      <c r="D14" s="77">
        <f t="shared" si="0"/>
        <v>1.3333333333333333</v>
      </c>
      <c r="E14" s="77">
        <f t="shared" si="0"/>
        <v>1.6666666666666667</v>
      </c>
      <c r="F14" s="77">
        <f t="shared" si="0"/>
        <v>1.8181818181818181</v>
      </c>
      <c r="G14" s="77">
        <f t="shared" si="0"/>
        <v>1.9047619047619047</v>
      </c>
      <c r="H14" s="77">
        <f t="shared" si="0"/>
        <v>1.9607843137254901</v>
      </c>
      <c r="I14" s="77">
        <f t="shared" si="0"/>
        <v>1.9801980198019802</v>
      </c>
      <c r="J14" s="77">
        <f t="shared" si="0"/>
        <v>1.9900497512437811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Tabelle86"/>
  <dimension ref="B4:AA4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3.57421875" style="0" customWidth="1"/>
  </cols>
  <sheetData>
    <row r="4" spans="2:27" ht="12.75">
      <c r="B4" s="2" t="s">
        <v>138</v>
      </c>
      <c r="C4" s="2">
        <v>1</v>
      </c>
      <c r="D4" s="2"/>
      <c r="E4" s="2"/>
      <c r="F4" s="2">
        <v>2</v>
      </c>
      <c r="G4" s="2"/>
      <c r="H4" s="2">
        <v>3</v>
      </c>
      <c r="I4" s="2"/>
      <c r="J4" s="2">
        <v>4</v>
      </c>
      <c r="K4" s="2"/>
      <c r="L4" s="2">
        <v>5</v>
      </c>
      <c r="M4" s="2"/>
      <c r="N4" s="2">
        <v>6</v>
      </c>
      <c r="O4" s="2"/>
      <c r="P4" s="2">
        <v>7</v>
      </c>
      <c r="Q4" s="2"/>
      <c r="R4" s="2">
        <v>8</v>
      </c>
      <c r="S4" s="2"/>
      <c r="T4" s="2">
        <v>9</v>
      </c>
      <c r="U4" s="2"/>
      <c r="V4" s="2">
        <v>10</v>
      </c>
      <c r="W4" s="2"/>
      <c r="X4" s="2">
        <v>11</v>
      </c>
      <c r="Y4" s="2"/>
      <c r="Z4" s="2">
        <v>12</v>
      </c>
      <c r="AA4" s="2"/>
    </row>
    <row r="5" spans="2:27" ht="12.75">
      <c r="B5" s="2" t="s">
        <v>162</v>
      </c>
      <c r="C5" s="2" t="s">
        <v>163</v>
      </c>
      <c r="D5" s="2" t="s">
        <v>164</v>
      </c>
      <c r="E5" s="2" t="s">
        <v>165</v>
      </c>
      <c r="F5" s="2" t="s">
        <v>164</v>
      </c>
      <c r="G5" s="2" t="s">
        <v>165</v>
      </c>
      <c r="H5" s="2" t="s">
        <v>164</v>
      </c>
      <c r="I5" s="2" t="s">
        <v>165</v>
      </c>
      <c r="J5" s="2" t="s">
        <v>164</v>
      </c>
      <c r="K5" s="2" t="s">
        <v>165</v>
      </c>
      <c r="L5" s="2" t="s">
        <v>164</v>
      </c>
      <c r="M5" s="2" t="s">
        <v>165</v>
      </c>
      <c r="N5" s="2" t="s">
        <v>164</v>
      </c>
      <c r="O5" s="2" t="s">
        <v>165</v>
      </c>
      <c r="P5" s="2" t="s">
        <v>164</v>
      </c>
      <c r="Q5" s="2" t="s">
        <v>165</v>
      </c>
      <c r="R5" s="2" t="s">
        <v>164</v>
      </c>
      <c r="S5" s="2" t="s">
        <v>165</v>
      </c>
      <c r="T5" s="2" t="s">
        <v>164</v>
      </c>
      <c r="U5" s="2" t="s">
        <v>165</v>
      </c>
      <c r="V5" s="2" t="s">
        <v>164</v>
      </c>
      <c r="W5" s="2" t="s">
        <v>165</v>
      </c>
      <c r="X5" s="2" t="s">
        <v>164</v>
      </c>
      <c r="Y5" s="2" t="s">
        <v>165</v>
      </c>
      <c r="Z5" s="2" t="s">
        <v>164</v>
      </c>
      <c r="AA5" s="2" t="s">
        <v>165</v>
      </c>
    </row>
    <row r="6" spans="2:27" ht="12.75">
      <c r="B6" s="2">
        <v>1</v>
      </c>
      <c r="C6" s="2">
        <v>100</v>
      </c>
      <c r="D6" s="2">
        <v>20</v>
      </c>
      <c r="E6" s="2">
        <f>C6-D6</f>
        <v>80</v>
      </c>
      <c r="F6" s="2">
        <v>20</v>
      </c>
      <c r="G6" s="2">
        <f aca="true" t="shared" si="0" ref="G6:G11">E6-F6</f>
        <v>60</v>
      </c>
      <c r="H6" s="2">
        <v>20</v>
      </c>
      <c r="I6" s="2">
        <f>G6-H6</f>
        <v>40</v>
      </c>
      <c r="J6" s="2">
        <v>20</v>
      </c>
      <c r="K6" s="2">
        <f>I6-J6</f>
        <v>20</v>
      </c>
      <c r="L6" s="2">
        <v>20</v>
      </c>
      <c r="M6" s="2">
        <f aca="true" t="shared" si="1" ref="M6:M12">K6-L6</f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.75">
      <c r="B7" s="2">
        <v>2</v>
      </c>
      <c r="C7" s="2">
        <v>100</v>
      </c>
      <c r="D7" s="2">
        <v>20</v>
      </c>
      <c r="E7" s="2">
        <f>C7-D7</f>
        <v>80</v>
      </c>
      <c r="F7" s="2">
        <v>20</v>
      </c>
      <c r="G7" s="2">
        <f t="shared" si="0"/>
        <v>60</v>
      </c>
      <c r="H7" s="2">
        <v>20</v>
      </c>
      <c r="I7" s="2">
        <f aca="true" t="shared" si="2" ref="I7:I12">G7-H7</f>
        <v>40</v>
      </c>
      <c r="J7" s="2">
        <v>20</v>
      </c>
      <c r="K7" s="2">
        <f aca="true" t="shared" si="3" ref="K7:K14">I7-J7</f>
        <v>20</v>
      </c>
      <c r="L7" s="2">
        <v>20</v>
      </c>
      <c r="M7" s="2">
        <f t="shared" si="1"/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>
      <c r="B8" s="2">
        <v>3</v>
      </c>
      <c r="C8" s="2">
        <v>100</v>
      </c>
      <c r="D8" s="2">
        <v>20</v>
      </c>
      <c r="E8" s="2">
        <f>C8-D8</f>
        <v>80</v>
      </c>
      <c r="F8" s="2">
        <v>20</v>
      </c>
      <c r="G8" s="2">
        <f t="shared" si="0"/>
        <v>60</v>
      </c>
      <c r="H8" s="2">
        <v>20</v>
      </c>
      <c r="I8" s="2">
        <f t="shared" si="2"/>
        <v>40</v>
      </c>
      <c r="J8" s="2">
        <v>20</v>
      </c>
      <c r="K8" s="2">
        <f t="shared" si="3"/>
        <v>20</v>
      </c>
      <c r="L8" s="2">
        <v>20</v>
      </c>
      <c r="M8" s="2">
        <f t="shared" si="1"/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.75">
      <c r="B9" s="2">
        <v>4</v>
      </c>
      <c r="C9" s="2">
        <v>100</v>
      </c>
      <c r="D9" s="2">
        <v>20</v>
      </c>
      <c r="E9" s="2">
        <f>C9-D9</f>
        <v>80</v>
      </c>
      <c r="F9" s="2">
        <v>20</v>
      </c>
      <c r="G9" s="2">
        <f t="shared" si="0"/>
        <v>60</v>
      </c>
      <c r="H9" s="2">
        <v>20</v>
      </c>
      <c r="I9" s="2">
        <f t="shared" si="2"/>
        <v>40</v>
      </c>
      <c r="J9" s="2">
        <v>20</v>
      </c>
      <c r="K9" s="2">
        <f t="shared" si="3"/>
        <v>20</v>
      </c>
      <c r="L9" s="2">
        <v>20</v>
      </c>
      <c r="M9" s="2">
        <f t="shared" si="1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2">
        <v>5</v>
      </c>
      <c r="C10" s="2">
        <v>100</v>
      </c>
      <c r="D10" s="73">
        <v>20</v>
      </c>
      <c r="E10" s="2">
        <f>C10-D10</f>
        <v>80</v>
      </c>
      <c r="F10" s="2">
        <v>20</v>
      </c>
      <c r="G10" s="2">
        <f t="shared" si="0"/>
        <v>60</v>
      </c>
      <c r="H10" s="2">
        <v>20</v>
      </c>
      <c r="I10" s="2">
        <f t="shared" si="2"/>
        <v>40</v>
      </c>
      <c r="J10" s="2">
        <v>20</v>
      </c>
      <c r="K10" s="2">
        <f t="shared" si="3"/>
        <v>20</v>
      </c>
      <c r="L10" s="2">
        <v>20</v>
      </c>
      <c r="M10" s="2">
        <f t="shared" si="1"/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.75">
      <c r="B11" s="2">
        <v>6</v>
      </c>
      <c r="C11" s="2"/>
      <c r="D11" s="2">
        <f>SUM(D6:D10)</f>
        <v>100</v>
      </c>
      <c r="E11" s="2">
        <f>D11</f>
        <v>100</v>
      </c>
      <c r="F11" s="73">
        <v>20</v>
      </c>
      <c r="G11" s="2">
        <f t="shared" si="0"/>
        <v>80</v>
      </c>
      <c r="H11" s="2">
        <v>20</v>
      </c>
      <c r="I11" s="2">
        <f t="shared" si="2"/>
        <v>60</v>
      </c>
      <c r="J11" s="2">
        <v>20</v>
      </c>
      <c r="K11" s="2">
        <f t="shared" si="3"/>
        <v>40</v>
      </c>
      <c r="L11" s="2">
        <v>20</v>
      </c>
      <c r="M11" s="2">
        <f t="shared" si="1"/>
        <v>20</v>
      </c>
      <c r="N11" s="2">
        <v>20</v>
      </c>
      <c r="O11" s="2">
        <f>M11-N11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>
      <c r="B12" s="2">
        <v>7</v>
      </c>
      <c r="C12" s="2"/>
      <c r="D12" s="2"/>
      <c r="E12" s="2"/>
      <c r="F12" s="2">
        <f>SUM(F6:F11)</f>
        <v>120</v>
      </c>
      <c r="G12" s="2">
        <v>100</v>
      </c>
      <c r="H12" s="26">
        <v>20</v>
      </c>
      <c r="I12" s="2">
        <f t="shared" si="2"/>
        <v>80</v>
      </c>
      <c r="J12" s="2">
        <v>20</v>
      </c>
      <c r="K12" s="2">
        <f t="shared" si="3"/>
        <v>60</v>
      </c>
      <c r="L12" s="2">
        <v>20</v>
      </c>
      <c r="M12" s="2">
        <f t="shared" si="1"/>
        <v>40</v>
      </c>
      <c r="N12" s="2">
        <v>20</v>
      </c>
      <c r="O12" s="2">
        <f>M12-N12</f>
        <v>20</v>
      </c>
      <c r="P12" s="2">
        <v>20</v>
      </c>
      <c r="Q12" s="2">
        <f>O12-P12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.75">
      <c r="B13" s="2"/>
      <c r="C13" s="2"/>
      <c r="D13" s="2"/>
      <c r="E13" s="2"/>
      <c r="F13" s="2"/>
      <c r="G13" s="2">
        <v>20</v>
      </c>
      <c r="H13" s="73">
        <v>20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.75">
      <c r="B14" s="2">
        <v>8</v>
      </c>
      <c r="C14" s="2"/>
      <c r="D14" s="2"/>
      <c r="E14" s="2"/>
      <c r="F14" s="2"/>
      <c r="G14" s="2"/>
      <c r="H14" s="2">
        <f>SUM(H6:H13)</f>
        <v>160</v>
      </c>
      <c r="I14" s="2">
        <v>100</v>
      </c>
      <c r="J14" s="73">
        <v>20</v>
      </c>
      <c r="K14" s="2">
        <f t="shared" si="3"/>
        <v>80</v>
      </c>
      <c r="L14" s="2">
        <v>20</v>
      </c>
      <c r="M14" s="2">
        <f>K14-L14</f>
        <v>60</v>
      </c>
      <c r="N14" s="2">
        <v>20</v>
      </c>
      <c r="O14" s="2">
        <f>M14-N14</f>
        <v>40</v>
      </c>
      <c r="P14" s="2">
        <v>20</v>
      </c>
      <c r="Q14" s="2">
        <f>O14-P14</f>
        <v>20</v>
      </c>
      <c r="R14" s="2">
        <v>20</v>
      </c>
      <c r="S14" s="2">
        <f>Q14-R14</f>
        <v>0</v>
      </c>
      <c r="T14" s="2"/>
      <c r="U14" s="2"/>
      <c r="V14" s="2"/>
      <c r="W14" s="2"/>
      <c r="X14" s="2"/>
      <c r="Y14" s="2"/>
      <c r="Z14" s="2"/>
      <c r="AA14" s="2"/>
    </row>
    <row r="15" spans="2:27" ht="12.75">
      <c r="B15" s="2"/>
      <c r="C15" s="2"/>
      <c r="D15" s="2"/>
      <c r="E15" s="2"/>
      <c r="F15" s="2"/>
      <c r="G15" s="2"/>
      <c r="H15" s="2"/>
      <c r="I15" s="2">
        <v>60</v>
      </c>
      <c r="J15" s="26">
        <v>60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.75">
      <c r="B16" s="2">
        <v>9</v>
      </c>
      <c r="C16" s="2"/>
      <c r="D16" s="2"/>
      <c r="E16" s="2"/>
      <c r="F16" s="2"/>
      <c r="G16" s="2"/>
      <c r="H16" s="2"/>
      <c r="I16" s="2"/>
      <c r="J16" s="2">
        <f>SUM(J6:J15)</f>
        <v>220</v>
      </c>
      <c r="K16" s="2">
        <v>100</v>
      </c>
      <c r="L16" s="2">
        <v>20</v>
      </c>
      <c r="M16" s="2">
        <f>K16-L16</f>
        <v>80</v>
      </c>
      <c r="N16" s="2">
        <v>20</v>
      </c>
      <c r="O16" s="2">
        <f>M16-N16</f>
        <v>60</v>
      </c>
      <c r="P16" s="2">
        <v>20</v>
      </c>
      <c r="Q16" s="2">
        <f>O16-P16</f>
        <v>40</v>
      </c>
      <c r="R16" s="2">
        <v>20</v>
      </c>
      <c r="S16" s="2">
        <f>Q16-R16</f>
        <v>20</v>
      </c>
      <c r="T16" s="2">
        <v>20</v>
      </c>
      <c r="U16" s="2">
        <f>S16-T16</f>
        <v>0</v>
      </c>
      <c r="V16" s="2"/>
      <c r="W16" s="2"/>
      <c r="X16" s="2"/>
      <c r="Y16" s="2"/>
      <c r="Z16" s="2"/>
      <c r="AA16" s="2"/>
    </row>
    <row r="17" spans="2:27" ht="12.75">
      <c r="B17" s="2">
        <v>10</v>
      </c>
      <c r="C17" s="2"/>
      <c r="D17" s="2"/>
      <c r="E17" s="2"/>
      <c r="F17" s="2"/>
      <c r="G17" s="2"/>
      <c r="H17" s="2"/>
      <c r="I17" s="2"/>
      <c r="J17" s="2"/>
      <c r="K17" s="2">
        <v>100</v>
      </c>
      <c r="L17" s="2">
        <v>20</v>
      </c>
      <c r="M17" s="2">
        <f>K17-L17</f>
        <v>80</v>
      </c>
      <c r="N17" s="2">
        <v>20</v>
      </c>
      <c r="O17" s="2">
        <f>M17-N17</f>
        <v>60</v>
      </c>
      <c r="P17" s="2">
        <v>20</v>
      </c>
      <c r="Q17" s="2">
        <f>O17-P17</f>
        <v>40</v>
      </c>
      <c r="R17" s="2">
        <v>20</v>
      </c>
      <c r="S17" s="2">
        <f>Q17-R17</f>
        <v>20</v>
      </c>
      <c r="T17" s="2">
        <v>20</v>
      </c>
      <c r="U17" s="2">
        <f>S17-T17</f>
        <v>0</v>
      </c>
      <c r="V17" s="2"/>
      <c r="W17" s="2"/>
      <c r="X17" s="2"/>
      <c r="Y17" s="2"/>
      <c r="Z17" s="2"/>
      <c r="AA17" s="2"/>
    </row>
    <row r="18" spans="2:27" ht="12.75">
      <c r="B18" s="2"/>
      <c r="C18" s="2"/>
      <c r="D18" s="2"/>
      <c r="E18" s="2"/>
      <c r="F18" s="2"/>
      <c r="G18" s="2"/>
      <c r="H18" s="2"/>
      <c r="I18" s="2"/>
      <c r="J18" s="2"/>
      <c r="K18" s="2">
        <v>20</v>
      </c>
      <c r="L18" s="73">
        <v>20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.75">
      <c r="B19" s="2">
        <v>11</v>
      </c>
      <c r="C19" s="2"/>
      <c r="D19" s="2"/>
      <c r="E19" s="2"/>
      <c r="F19" s="2"/>
      <c r="G19" s="2"/>
      <c r="H19" s="2"/>
      <c r="I19" s="2"/>
      <c r="J19" s="2"/>
      <c r="K19" s="2"/>
      <c r="L19" s="2">
        <f>SUM(L6:L18)</f>
        <v>220</v>
      </c>
      <c r="M19" s="2">
        <v>100</v>
      </c>
      <c r="N19" s="2">
        <v>20</v>
      </c>
      <c r="O19" s="2">
        <f>M19-N19</f>
        <v>80</v>
      </c>
      <c r="P19" s="2">
        <v>20</v>
      </c>
      <c r="Q19" s="2">
        <f>O19-P19</f>
        <v>60</v>
      </c>
      <c r="R19" s="2">
        <v>20</v>
      </c>
      <c r="S19" s="2">
        <f>Q19-R19</f>
        <v>40</v>
      </c>
      <c r="T19" s="2">
        <v>20</v>
      </c>
      <c r="U19" s="2">
        <f>S19-T19</f>
        <v>20</v>
      </c>
      <c r="V19" s="2">
        <v>20</v>
      </c>
      <c r="W19" s="2">
        <f>U19-V19</f>
        <v>0</v>
      </c>
      <c r="X19" s="2"/>
      <c r="Y19" s="2"/>
      <c r="Z19" s="2"/>
      <c r="AA19" s="2"/>
    </row>
    <row r="20" spans="2:27" ht="12.75">
      <c r="B20" s="2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100</v>
      </c>
      <c r="N20" s="2">
        <v>20</v>
      </c>
      <c r="O20" s="2">
        <f>M20-N20</f>
        <v>80</v>
      </c>
      <c r="P20" s="2">
        <v>20</v>
      </c>
      <c r="Q20" s="2">
        <f>O20-P20</f>
        <v>60</v>
      </c>
      <c r="R20" s="2">
        <v>20</v>
      </c>
      <c r="S20" s="2">
        <f>Q20-R20</f>
        <v>40</v>
      </c>
      <c r="T20" s="2">
        <v>20</v>
      </c>
      <c r="U20" s="2">
        <f>S20-T20</f>
        <v>20</v>
      </c>
      <c r="V20" s="2">
        <v>20</v>
      </c>
      <c r="W20" s="2">
        <f>U20-V20</f>
        <v>0</v>
      </c>
      <c r="X20" s="2"/>
      <c r="Y20" s="2"/>
      <c r="Z20" s="2"/>
      <c r="AA20" s="2"/>
    </row>
    <row r="21" spans="2:2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20</v>
      </c>
      <c r="N21" s="73">
        <v>20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.75">
      <c r="B22" s="2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>SUM(N11:N21)</f>
        <v>160</v>
      </c>
      <c r="O22" s="2">
        <v>100</v>
      </c>
      <c r="P22" s="2">
        <v>20</v>
      </c>
      <c r="Q22" s="2">
        <f>O22-P22</f>
        <v>80</v>
      </c>
      <c r="R22" s="2">
        <v>20</v>
      </c>
      <c r="S22" s="2">
        <f>Q22-R22</f>
        <v>60</v>
      </c>
      <c r="T22" s="2">
        <v>20</v>
      </c>
      <c r="U22" s="2">
        <f>S22-T22</f>
        <v>40</v>
      </c>
      <c r="V22" s="2">
        <v>20</v>
      </c>
      <c r="W22" s="2">
        <f>U22-V22</f>
        <v>20</v>
      </c>
      <c r="X22" s="2">
        <v>20</v>
      </c>
      <c r="Y22" s="2">
        <f>W22-X22</f>
        <v>0</v>
      </c>
      <c r="Z22" s="2"/>
      <c r="AA22" s="2"/>
    </row>
    <row r="23" spans="2:27" ht="12.75">
      <c r="B23" s="2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60</v>
      </c>
      <c r="P23" s="73">
        <v>60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>SUM(P11:P23)</f>
        <v>200</v>
      </c>
      <c r="Q24" s="2">
        <v>100</v>
      </c>
      <c r="R24" s="2">
        <v>20</v>
      </c>
      <c r="S24" s="2">
        <f>Q24-R24</f>
        <v>80</v>
      </c>
      <c r="T24" s="2">
        <v>20</v>
      </c>
      <c r="U24" s="2">
        <f>S24-T24</f>
        <v>60</v>
      </c>
      <c r="V24" s="2">
        <v>20</v>
      </c>
      <c r="W24" s="2">
        <f>U24-V24</f>
        <v>40</v>
      </c>
      <c r="X24" s="2">
        <v>20</v>
      </c>
      <c r="Y24" s="2">
        <f>W24-X24</f>
        <v>20</v>
      </c>
      <c r="Z24" s="2">
        <v>20</v>
      </c>
      <c r="AA24" s="2">
        <f>Y24-Z24</f>
        <v>0</v>
      </c>
    </row>
    <row r="25" spans="2:27" ht="12.75">
      <c r="B25" s="2">
        <v>15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100</v>
      </c>
      <c r="R25" s="73">
        <v>20</v>
      </c>
      <c r="S25" s="2">
        <f>Q25-R25</f>
        <v>80</v>
      </c>
      <c r="T25" s="2">
        <v>20</v>
      </c>
      <c r="U25" s="2">
        <f>S25-T25</f>
        <v>60</v>
      </c>
      <c r="V25" s="2">
        <v>20</v>
      </c>
      <c r="W25" s="2">
        <f>U25-V25</f>
        <v>40</v>
      </c>
      <c r="X25" s="2">
        <v>20</v>
      </c>
      <c r="Y25" s="2">
        <f>W25-X25</f>
        <v>20</v>
      </c>
      <c r="Z25" s="2">
        <v>20</v>
      </c>
      <c r="AA25" s="2">
        <f>Y25-Z25</f>
        <v>0</v>
      </c>
    </row>
    <row r="26" spans="2:27" ht="12.75">
      <c r="B26" s="2">
        <v>16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>SUM(R14:R25)</f>
        <v>160</v>
      </c>
      <c r="S26" s="2">
        <v>100</v>
      </c>
      <c r="T26" s="2">
        <v>20</v>
      </c>
      <c r="U26" s="2">
        <f>S26-T26</f>
        <v>80</v>
      </c>
      <c r="V26" s="2">
        <v>20</v>
      </c>
      <c r="W26" s="2">
        <f>U26-V26</f>
        <v>60</v>
      </c>
      <c r="X26" s="2">
        <v>20</v>
      </c>
      <c r="Y26" s="2">
        <f>W26-X26</f>
        <v>40</v>
      </c>
      <c r="Z26" s="2">
        <v>20</v>
      </c>
      <c r="AA26" s="2">
        <f>Y26-Z26</f>
        <v>20</v>
      </c>
    </row>
    <row r="27" spans="2:2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60</v>
      </c>
      <c r="T27" s="73">
        <v>60</v>
      </c>
      <c r="U27" s="2"/>
      <c r="V27" s="2"/>
      <c r="W27" s="2"/>
      <c r="X27" s="2"/>
      <c r="Y27" s="2"/>
      <c r="Z27" s="2"/>
      <c r="AA27" s="2"/>
    </row>
    <row r="28" spans="2:27" ht="12.75">
      <c r="B28" s="2">
        <v>17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f>SUM(T16:T27)</f>
        <v>220</v>
      </c>
      <c r="U28" s="2">
        <v>100</v>
      </c>
      <c r="V28" s="2">
        <v>20</v>
      </c>
      <c r="W28" s="2">
        <f>U28-V28</f>
        <v>80</v>
      </c>
      <c r="X28" s="2">
        <v>20</v>
      </c>
      <c r="Y28" s="2">
        <f>W28-X28</f>
        <v>60</v>
      </c>
      <c r="Z28" s="2">
        <v>20</v>
      </c>
      <c r="AA28" s="2">
        <f>Y28-Z28</f>
        <v>40</v>
      </c>
    </row>
    <row r="29" spans="2:27" ht="12.75">
      <c r="B29" s="2">
        <v>18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100</v>
      </c>
      <c r="V29" s="2">
        <v>20</v>
      </c>
      <c r="W29" s="2">
        <f>U29-V29</f>
        <v>80</v>
      </c>
      <c r="X29" s="2">
        <v>20</v>
      </c>
      <c r="Y29" s="2">
        <f>W29-X29</f>
        <v>60</v>
      </c>
      <c r="Z29" s="2">
        <v>20</v>
      </c>
      <c r="AA29" s="2">
        <f>Y29-Z29</f>
        <v>40</v>
      </c>
    </row>
    <row r="30" spans="2:2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20</v>
      </c>
      <c r="V30" s="73">
        <v>20</v>
      </c>
      <c r="W30" s="2"/>
      <c r="X30" s="2"/>
      <c r="Y30" s="2"/>
      <c r="Z30" s="2"/>
      <c r="AA30" s="2"/>
    </row>
    <row r="31" spans="2:27" ht="12.75">
      <c r="B31" s="2">
        <v>19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f>SUM(V19:V30)</f>
        <v>180</v>
      </c>
      <c r="W31" s="2">
        <v>100</v>
      </c>
      <c r="X31" s="2">
        <v>20</v>
      </c>
      <c r="Y31" s="2">
        <f>W31-X31</f>
        <v>80</v>
      </c>
      <c r="Z31" s="2">
        <v>20</v>
      </c>
      <c r="AA31" s="2">
        <f>Y31-Z31</f>
        <v>60</v>
      </c>
    </row>
    <row r="32" spans="2:2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80</v>
      </c>
      <c r="X32" s="73">
        <v>80</v>
      </c>
      <c r="Y32" s="2"/>
      <c r="Z32" s="2"/>
      <c r="AA32" s="2"/>
    </row>
    <row r="33" spans="2:27" ht="12.75">
      <c r="B33" s="2">
        <v>20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f>SUM(X22:X32)</f>
        <v>220</v>
      </c>
      <c r="Y33" s="2">
        <v>100</v>
      </c>
      <c r="Z33" s="2">
        <v>20</v>
      </c>
      <c r="AA33" s="2">
        <f>Y33-Z33</f>
        <v>80</v>
      </c>
    </row>
    <row r="34" spans="2:27" ht="12.75">
      <c r="B34" s="2">
        <v>21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100</v>
      </c>
      <c r="Z34" s="2">
        <v>20</v>
      </c>
      <c r="AA34" s="2">
        <f>Y34-Z34</f>
        <v>80</v>
      </c>
    </row>
    <row r="35" spans="2:27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20</v>
      </c>
      <c r="Z35" s="73">
        <v>20</v>
      </c>
      <c r="AA35" s="2"/>
    </row>
    <row r="36" spans="2:27" ht="12.75">
      <c r="B36" s="2">
        <v>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>
        <f>SUM(Z24:Z35)</f>
        <v>180</v>
      </c>
      <c r="AA36" s="2">
        <v>100</v>
      </c>
    </row>
    <row r="37" spans="2:2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80</v>
      </c>
    </row>
    <row r="38" spans="2:27" ht="12.75">
      <c r="B38" s="2" t="s">
        <v>166</v>
      </c>
      <c r="C38" s="2">
        <f>SUM(C6:C10)</f>
        <v>500</v>
      </c>
      <c r="D38" s="2"/>
      <c r="E38" s="2">
        <f>SUM(E6:E11)</f>
        <v>500</v>
      </c>
      <c r="F38" s="2"/>
      <c r="G38" s="2">
        <f>SUM(G6:G13)-G13</f>
        <v>480</v>
      </c>
      <c r="H38" s="2"/>
      <c r="I38" s="2">
        <f>SUM(I6:I15)-I15</f>
        <v>440</v>
      </c>
      <c r="J38" s="2"/>
      <c r="K38" s="2">
        <f>SUM(K6:K18)-K18</f>
        <v>480</v>
      </c>
      <c r="L38" s="2"/>
      <c r="M38" s="2">
        <f>SUM(M6:M21)-M21</f>
        <v>480</v>
      </c>
      <c r="N38" s="2"/>
      <c r="O38" s="2">
        <f>SUM(O6:O23)-O23</f>
        <v>440</v>
      </c>
      <c r="P38" s="2"/>
      <c r="Q38" s="2">
        <f>SUM(Q6:Q26)-Q26</f>
        <v>500</v>
      </c>
      <c r="R38" s="2"/>
      <c r="S38" s="2">
        <f>SUM(S6:S27)-S27</f>
        <v>440</v>
      </c>
      <c r="T38" s="2"/>
      <c r="U38" s="2">
        <f>SUM(U6:U30)-U30</f>
        <v>480</v>
      </c>
      <c r="V38" s="2"/>
      <c r="W38" s="2">
        <f>SUM(W6:W32)-W32</f>
        <v>420</v>
      </c>
      <c r="X38" s="2"/>
      <c r="Y38" s="2">
        <f>SUM(Y6:Y35)-Y35</f>
        <v>480</v>
      </c>
      <c r="Z38" s="2"/>
      <c r="AA38" s="2">
        <f>SUM(AA6:AA37)-AA37</f>
        <v>420</v>
      </c>
    </row>
    <row r="39" spans="2:27" ht="12.75">
      <c r="B39" s="2" t="s">
        <v>595</v>
      </c>
      <c r="C39" s="2">
        <f>500-C38</f>
        <v>0</v>
      </c>
      <c r="D39" s="2"/>
      <c r="E39" s="2">
        <f>500-E38</f>
        <v>0</v>
      </c>
      <c r="F39" s="2"/>
      <c r="G39" s="2">
        <f>500-G38</f>
        <v>20</v>
      </c>
      <c r="H39" s="2"/>
      <c r="I39" s="2">
        <f>500-I38</f>
        <v>60</v>
      </c>
      <c r="J39" s="2"/>
      <c r="K39" s="2">
        <f>500-K38</f>
        <v>20</v>
      </c>
      <c r="L39" s="2"/>
      <c r="M39" s="2">
        <f>500-M38</f>
        <v>20</v>
      </c>
      <c r="N39" s="2"/>
      <c r="O39" s="2">
        <f>500-O38</f>
        <v>60</v>
      </c>
      <c r="P39" s="2"/>
      <c r="Q39" s="2">
        <f>500-Q38</f>
        <v>0</v>
      </c>
      <c r="R39" s="2"/>
      <c r="S39" s="2">
        <f>500-S38</f>
        <v>60</v>
      </c>
      <c r="T39" s="2"/>
      <c r="U39" s="2">
        <f>500-U38</f>
        <v>20</v>
      </c>
      <c r="V39" s="2"/>
      <c r="W39" s="2">
        <f>500-W38</f>
        <v>80</v>
      </c>
      <c r="X39" s="2"/>
      <c r="Y39" s="2">
        <f>500-Y38</f>
        <v>20</v>
      </c>
      <c r="Z39" s="2"/>
      <c r="AA39" s="2">
        <f>500-AA38</f>
        <v>80</v>
      </c>
    </row>
    <row r="40" spans="2:27" ht="12.75">
      <c r="B40" s="2" t="s">
        <v>167</v>
      </c>
      <c r="C40" s="139"/>
      <c r="D40" s="139">
        <f>COUNT(D6:D10)</f>
        <v>5</v>
      </c>
      <c r="E40" s="139"/>
      <c r="F40" s="139">
        <f>COUNT(F6:F11)</f>
        <v>6</v>
      </c>
      <c r="G40" s="139"/>
      <c r="H40" s="139">
        <f>COUNT(H6:H12)</f>
        <v>7</v>
      </c>
      <c r="I40" s="139"/>
      <c r="J40" s="139">
        <f>COUNT(J6:J14)</f>
        <v>8</v>
      </c>
      <c r="K40" s="139"/>
      <c r="L40" s="139">
        <f>COUNT(L6:L17)</f>
        <v>10</v>
      </c>
      <c r="M40" s="139"/>
      <c r="N40" s="139">
        <f>COUNT(N6:N20)</f>
        <v>7</v>
      </c>
      <c r="O40" s="139"/>
      <c r="P40" s="139">
        <f>COUNT(P6:P22)</f>
        <v>7</v>
      </c>
      <c r="Q40" s="139"/>
      <c r="R40" s="139">
        <f>COUNT(R6:R25)</f>
        <v>8</v>
      </c>
      <c r="S40" s="139"/>
      <c r="T40" s="139">
        <f>COUNT(T6:T26)</f>
        <v>8</v>
      </c>
      <c r="U40" s="139"/>
      <c r="V40" s="139">
        <f>COUNT(V6:V29)</f>
        <v>8</v>
      </c>
      <c r="W40" s="139"/>
      <c r="X40" s="139">
        <f>COUNT(X6:X31)</f>
        <v>7</v>
      </c>
      <c r="Y40" s="139"/>
      <c r="Z40" s="139">
        <f>COUNT(Z6:Z34)</f>
        <v>8</v>
      </c>
      <c r="AA40" s="139"/>
    </row>
    <row r="41" spans="2:27" ht="12.75">
      <c r="B41" s="2" t="s">
        <v>168</v>
      </c>
      <c r="C41" s="139"/>
      <c r="D41" s="140">
        <f>D40*20</f>
        <v>100</v>
      </c>
      <c r="E41" s="139"/>
      <c r="F41" s="140">
        <f>F40*20</f>
        <v>120</v>
      </c>
      <c r="G41" s="139"/>
      <c r="H41" s="140">
        <f>H40*20</f>
        <v>140</v>
      </c>
      <c r="I41" s="139"/>
      <c r="J41" s="140">
        <f>J40*20</f>
        <v>160</v>
      </c>
      <c r="K41" s="139"/>
      <c r="L41" s="140">
        <f>L40*20</f>
        <v>200</v>
      </c>
      <c r="M41" s="139"/>
      <c r="N41" s="140">
        <f>N40*20</f>
        <v>140</v>
      </c>
      <c r="O41" s="139"/>
      <c r="P41" s="140">
        <f>P40*20</f>
        <v>140</v>
      </c>
      <c r="Q41" s="139"/>
      <c r="R41" s="140">
        <f>R40*20</f>
        <v>160</v>
      </c>
      <c r="S41" s="139"/>
      <c r="T41" s="140">
        <f>T40*20</f>
        <v>160</v>
      </c>
      <c r="U41" s="139"/>
      <c r="V41" s="140">
        <f>V40*20</f>
        <v>160</v>
      </c>
      <c r="W41" s="139"/>
      <c r="X41" s="140">
        <f>X40*20</f>
        <v>140</v>
      </c>
      <c r="Y41" s="139"/>
      <c r="Z41" s="140">
        <f>Z40*20</f>
        <v>160</v>
      </c>
      <c r="AA41" s="139"/>
    </row>
  </sheetData>
  <printOptions/>
  <pageMargins left="0.75" right="0.75" top="1" bottom="1" header="0.4921259845" footer="0.4921259845"/>
  <pageSetup orientation="portrait" paperSize="9"/>
  <ignoredErrors>
    <ignoredError sqref="H40:AA4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2:J18"/>
  <sheetViews>
    <sheetView showGridLines="0" workbookViewId="0" topLeftCell="A1">
      <selection activeCell="A1" sqref="A1"/>
    </sheetView>
  </sheetViews>
  <sheetFormatPr defaultColWidth="11.421875" defaultRowHeight="12.75"/>
  <sheetData>
    <row r="2" spans="1:10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ht="12.75">
      <c r="A3" t="s">
        <v>78</v>
      </c>
    </row>
    <row r="5" spans="1:10" ht="12.7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78</v>
      </c>
    </row>
    <row r="18" ht="12.75">
      <c r="A18" t="s">
        <v>78</v>
      </c>
    </row>
  </sheetData>
  <printOptions/>
  <pageMargins left="0.75" right="0.75" top="1" bottom="1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 codeName="Tabelle147"/>
  <dimension ref="B4:F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20.140625" style="46" customWidth="1"/>
    <col min="3" max="3" width="10.57421875" style="46" customWidth="1"/>
    <col min="4" max="4" width="15.28125" style="46" customWidth="1"/>
    <col min="5" max="5" width="18.140625" style="46" customWidth="1"/>
    <col min="6" max="6" width="17.140625" style="46" customWidth="1"/>
    <col min="7" max="16384" width="11.421875" style="46" customWidth="1"/>
  </cols>
  <sheetData>
    <row r="4" spans="2:4" ht="12.75" customHeight="1">
      <c r="B4" s="45" t="s">
        <v>451</v>
      </c>
      <c r="C4" s="45">
        <v>20</v>
      </c>
      <c r="D4" s="45" t="s">
        <v>227</v>
      </c>
    </row>
    <row r="5" spans="2:4" ht="25.5">
      <c r="B5" s="45" t="s">
        <v>459</v>
      </c>
      <c r="C5" s="64">
        <v>10000</v>
      </c>
      <c r="D5" s="45" t="s">
        <v>106</v>
      </c>
    </row>
    <row r="6" spans="2:4" ht="25.5">
      <c r="B6" s="45" t="s">
        <v>452</v>
      </c>
      <c r="C6" s="64">
        <v>5000</v>
      </c>
      <c r="D6" s="45"/>
    </row>
    <row r="7" spans="2:4" ht="25.5">
      <c r="B7" s="45" t="s">
        <v>446</v>
      </c>
      <c r="C7" s="45">
        <v>10</v>
      </c>
      <c r="D7" s="45"/>
    </row>
    <row r="9" spans="2:3" ht="12.75">
      <c r="B9" s="45" t="s">
        <v>458</v>
      </c>
      <c r="C9" s="66">
        <v>0.15</v>
      </c>
    </row>
    <row r="13" spans="2:6" ht="12.75">
      <c r="B13" s="150" t="s">
        <v>453</v>
      </c>
      <c r="C13" s="150"/>
      <c r="D13" s="150"/>
      <c r="E13" s="150"/>
      <c r="F13" s="150"/>
    </row>
    <row r="14" spans="2:6" ht="12.75">
      <c r="B14" s="37"/>
      <c r="C14" s="37"/>
      <c r="D14" s="37"/>
      <c r="E14" s="37"/>
      <c r="F14" s="37"/>
    </row>
    <row r="15" spans="2:6" ht="12.75">
      <c r="B15" s="36" t="s">
        <v>454</v>
      </c>
      <c r="C15" s="36"/>
      <c r="D15" s="36"/>
      <c r="E15" s="36"/>
      <c r="F15" s="36"/>
    </row>
    <row r="16" spans="2:6" ht="12.75">
      <c r="B16" s="37"/>
      <c r="C16" s="37"/>
      <c r="D16" s="37"/>
      <c r="E16" s="37"/>
      <c r="F16" s="37"/>
    </row>
    <row r="17" spans="2:6" ht="38.25">
      <c r="B17" s="60" t="s">
        <v>138</v>
      </c>
      <c r="C17" s="60" t="s">
        <v>455</v>
      </c>
      <c r="D17" s="60" t="s">
        <v>512</v>
      </c>
      <c r="E17" s="60" t="s">
        <v>513</v>
      </c>
      <c r="F17" s="60" t="s">
        <v>514</v>
      </c>
    </row>
    <row r="18" spans="2:6" ht="12.75">
      <c r="B18" s="37"/>
      <c r="C18" s="37"/>
      <c r="D18" s="37"/>
      <c r="E18" s="37"/>
      <c r="F18" s="37"/>
    </row>
    <row r="19" spans="2:6" ht="12.75">
      <c r="B19" s="37">
        <v>1</v>
      </c>
      <c r="C19" s="37">
        <f>'422'!$C$4</f>
        <v>20</v>
      </c>
      <c r="D19" s="84">
        <f>C19*'422'!$C$5</f>
        <v>200000</v>
      </c>
      <c r="E19" s="84">
        <f>C19*'422'!$C$6</f>
        <v>100000</v>
      </c>
      <c r="F19" s="84">
        <f>C19*'422'!$C$6*'422'!$C$7</f>
        <v>1000000</v>
      </c>
    </row>
    <row r="20" spans="2:6" ht="12.75">
      <c r="B20" s="37"/>
      <c r="C20" s="37"/>
      <c r="D20" s="84">
        <f>D19/'422'!$C$7</f>
        <v>20000</v>
      </c>
      <c r="E20" s="84"/>
      <c r="F20" s="84">
        <f>C19*'422'!$C$6*1</f>
        <v>100000</v>
      </c>
    </row>
    <row r="21" spans="2:6" ht="12.75">
      <c r="B21" s="37"/>
      <c r="C21" s="37"/>
      <c r="D21" s="84">
        <f>D19-D20</f>
        <v>180000</v>
      </c>
      <c r="E21" s="84"/>
      <c r="F21" s="84">
        <f>F19-F20</f>
        <v>900000</v>
      </c>
    </row>
    <row r="22" spans="2:6" ht="12.75">
      <c r="B22" s="37"/>
      <c r="C22" s="37">
        <f>D22/'422'!$C$5</f>
        <v>2</v>
      </c>
      <c r="D22" s="84">
        <f>D20</f>
        <v>20000</v>
      </c>
      <c r="E22" s="84"/>
      <c r="F22" s="84">
        <f>C22*'422'!$C$6*'422'!$C$7</f>
        <v>100000</v>
      </c>
    </row>
    <row r="23" spans="2:6" ht="12.75">
      <c r="B23" s="37"/>
      <c r="C23" s="37"/>
      <c r="D23" s="84"/>
      <c r="E23" s="84"/>
      <c r="F23" s="84"/>
    </row>
    <row r="24" spans="2:6" ht="12.75">
      <c r="B24" s="37">
        <v>2</v>
      </c>
      <c r="C24" s="37">
        <f>C19+C22</f>
        <v>22</v>
      </c>
      <c r="D24" s="84">
        <f>D21+D22</f>
        <v>200000</v>
      </c>
      <c r="E24" s="84">
        <f>C24*'422'!$C$6</f>
        <v>110000</v>
      </c>
      <c r="F24" s="84">
        <f>F21+F22</f>
        <v>1000000</v>
      </c>
    </row>
    <row r="25" spans="2:6" ht="12.75">
      <c r="B25" s="111"/>
      <c r="C25" s="111"/>
      <c r="D25" s="111"/>
      <c r="E25" s="111"/>
      <c r="F25" s="111"/>
    </row>
    <row r="26" spans="2:6" ht="12.75">
      <c r="B26" s="36" t="s">
        <v>457</v>
      </c>
      <c r="C26" s="36"/>
      <c r="D26" s="36"/>
      <c r="E26" s="36"/>
      <c r="F26" s="36"/>
    </row>
    <row r="27" spans="2:6" ht="12.75">
      <c r="B27" s="37"/>
      <c r="C27" s="37"/>
      <c r="D27" s="37"/>
      <c r="E27" s="37"/>
      <c r="F27" s="37"/>
    </row>
    <row r="28" spans="2:6" ht="38.25">
      <c r="B28" s="60" t="s">
        <v>138</v>
      </c>
      <c r="C28" s="60" t="s">
        <v>455</v>
      </c>
      <c r="D28" s="60" t="s">
        <v>512</v>
      </c>
      <c r="E28" s="60" t="s">
        <v>513</v>
      </c>
      <c r="F28" s="60" t="s">
        <v>514</v>
      </c>
    </row>
    <row r="29" spans="2:6" ht="12.75">
      <c r="B29" s="37"/>
      <c r="C29" s="37"/>
      <c r="D29" s="37"/>
      <c r="E29" s="37"/>
      <c r="F29" s="84"/>
    </row>
    <row r="30" spans="2:6" ht="12.75">
      <c r="B30" s="37">
        <v>1</v>
      </c>
      <c r="C30" s="37">
        <f>'422'!$C$4</f>
        <v>20</v>
      </c>
      <c r="D30" s="84">
        <f>C30*'422'!$C$5</f>
        <v>200000</v>
      </c>
      <c r="E30" s="84">
        <f>C30*'422'!$C$6</f>
        <v>100000</v>
      </c>
      <c r="F30" s="84">
        <f>C30*'422'!$C$6*'422'!$C$7</f>
        <v>1000000</v>
      </c>
    </row>
    <row r="31" spans="2:6" ht="12.75">
      <c r="B31" s="37"/>
      <c r="C31" s="37"/>
      <c r="D31" s="37">
        <f>D30*'422'!$C$9</f>
        <v>30000</v>
      </c>
      <c r="E31" s="84"/>
      <c r="F31" s="84">
        <f>C30*'422'!$C$6*1</f>
        <v>100000</v>
      </c>
    </row>
    <row r="32" spans="2:6" ht="12.75">
      <c r="B32" s="37"/>
      <c r="C32" s="37"/>
      <c r="D32" s="84">
        <f>D30-D31</f>
        <v>170000</v>
      </c>
      <c r="E32" s="84"/>
      <c r="F32" s="84">
        <f>F30-F31</f>
        <v>900000</v>
      </c>
    </row>
    <row r="33" spans="2:6" ht="12.75">
      <c r="B33" s="37"/>
      <c r="C33" s="37">
        <f>D33/'422'!$C$5</f>
        <v>3</v>
      </c>
      <c r="D33" s="37">
        <f>D31</f>
        <v>30000</v>
      </c>
      <c r="E33" s="84"/>
      <c r="F33" s="84">
        <f>C33*'422'!$C$6*'422'!$C$7</f>
        <v>150000</v>
      </c>
    </row>
    <row r="34" spans="2:6" ht="12.75">
      <c r="B34" s="37"/>
      <c r="C34" s="37"/>
      <c r="D34" s="37"/>
      <c r="E34" s="84"/>
      <c r="F34" s="84"/>
    </row>
    <row r="35" spans="2:6" ht="12.75">
      <c r="B35" s="37">
        <v>2</v>
      </c>
      <c r="C35" s="37">
        <f>C30+C33</f>
        <v>23</v>
      </c>
      <c r="D35" s="84">
        <f>D32+D33</f>
        <v>200000</v>
      </c>
      <c r="E35" s="84">
        <f>C35*'422'!$C$6</f>
        <v>115000</v>
      </c>
      <c r="F35" s="84">
        <f>F32+F33</f>
        <v>1050000</v>
      </c>
    </row>
  </sheetData>
  <mergeCells count="1">
    <mergeCell ref="B13:F13"/>
  </mergeCells>
  <printOptions/>
  <pageMargins left="0.75" right="0.75" top="1" bottom="1" header="0.4921259845" footer="0.4921259845"/>
  <pageSetup orientation="portrait" paperSize="9"/>
  <ignoredErrors>
    <ignoredError sqref="E35 E24" formula="1"/>
  </ignoredErrors>
</worksheet>
</file>

<file path=xl/worksheets/sheet81.xml><?xml version="1.0" encoding="utf-8"?>
<worksheet xmlns="http://schemas.openxmlformats.org/spreadsheetml/2006/main" xmlns:r="http://schemas.openxmlformats.org/officeDocument/2006/relationships">
  <sheetPr codeName="Tabelle148"/>
  <dimension ref="B4:H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19.8515625" style="46" customWidth="1"/>
    <col min="3" max="3" width="11.421875" style="46" customWidth="1"/>
    <col min="4" max="4" width="19.00390625" style="46" customWidth="1"/>
    <col min="5" max="5" width="9.140625" style="46" customWidth="1"/>
    <col min="6" max="6" width="15.8515625" style="46" customWidth="1"/>
    <col min="7" max="7" width="10.57421875" style="46" customWidth="1"/>
    <col min="8" max="16384" width="11.421875" style="46" customWidth="1"/>
  </cols>
  <sheetData>
    <row r="4" spans="2:4" ht="25.5">
      <c r="B4" s="45" t="s">
        <v>459</v>
      </c>
      <c r="C4" s="64">
        <v>10000</v>
      </c>
      <c r="D4" s="45" t="s">
        <v>106</v>
      </c>
    </row>
    <row r="5" spans="2:4" ht="12.75">
      <c r="B5" s="45" t="s">
        <v>456</v>
      </c>
      <c r="C5" s="64">
        <v>12000</v>
      </c>
      <c r="D5" s="45" t="s">
        <v>463</v>
      </c>
    </row>
    <row r="6" spans="2:4" ht="12.75">
      <c r="B6" s="45" t="s">
        <v>451</v>
      </c>
      <c r="C6" s="45">
        <v>5</v>
      </c>
      <c r="D6" s="45"/>
    </row>
    <row r="10" spans="2:8" ht="12.75">
      <c r="B10" s="37"/>
      <c r="C10" s="37"/>
      <c r="D10" s="37"/>
      <c r="E10" s="150" t="s">
        <v>464</v>
      </c>
      <c r="F10" s="150"/>
      <c r="G10" s="37"/>
      <c r="H10" s="37"/>
    </row>
    <row r="11" spans="2:8" ht="45.75" customHeight="1">
      <c r="B11" s="60" t="s">
        <v>145</v>
      </c>
      <c r="C11" s="60" t="s">
        <v>460</v>
      </c>
      <c r="D11" s="60" t="s">
        <v>465</v>
      </c>
      <c r="E11" s="60" t="s">
        <v>466</v>
      </c>
      <c r="F11" s="60" t="s">
        <v>467</v>
      </c>
      <c r="G11" s="60" t="s">
        <v>461</v>
      </c>
      <c r="H11" s="60" t="s">
        <v>462</v>
      </c>
    </row>
    <row r="12" spans="2:8" ht="12.75">
      <c r="B12" s="37">
        <v>1</v>
      </c>
      <c r="C12" s="37">
        <f>C13-1</f>
        <v>1</v>
      </c>
      <c r="D12" s="84">
        <f>'423'!$C$4</f>
        <v>10000</v>
      </c>
      <c r="E12" s="84">
        <f>D12</f>
        <v>10000</v>
      </c>
      <c r="F12" s="84">
        <f>D12-E12</f>
        <v>0</v>
      </c>
      <c r="G12" s="84">
        <f>'423'!$C$5*C12</f>
        <v>12000</v>
      </c>
      <c r="H12" s="84">
        <f>G12*'423'!$C$6</f>
        <v>60000</v>
      </c>
    </row>
    <row r="13" spans="2:8" ht="12.75">
      <c r="B13" s="37">
        <v>2</v>
      </c>
      <c r="C13" s="37">
        <f>C14-1</f>
        <v>2</v>
      </c>
      <c r="D13" s="84">
        <f>'423'!$C$4</f>
        <v>10000</v>
      </c>
      <c r="E13" s="84">
        <f aca="true" t="shared" si="0" ref="E13:E18">D13-F13</f>
        <v>8000</v>
      </c>
      <c r="F13" s="84">
        <f>C12*('423'!$C$4/'423'!$C$6)</f>
        <v>2000</v>
      </c>
      <c r="G13" s="84">
        <f>'423'!$C$5*C13</f>
        <v>24000</v>
      </c>
      <c r="H13" s="84">
        <f>($G$12*80%)*'423'!$C$6+H12</f>
        <v>108000</v>
      </c>
    </row>
    <row r="14" spans="2:8" ht="12.75">
      <c r="B14" s="37">
        <v>3</v>
      </c>
      <c r="C14" s="37">
        <f>C15-1</f>
        <v>3</v>
      </c>
      <c r="D14" s="84">
        <f>'423'!$C$4</f>
        <v>10000</v>
      </c>
      <c r="E14" s="84">
        <f t="shared" si="0"/>
        <v>6000</v>
      </c>
      <c r="F14" s="84">
        <f>C13*('423'!$C$4/'423'!$C$6)</f>
        <v>4000</v>
      </c>
      <c r="G14" s="84">
        <f>'423'!$C$5*C14</f>
        <v>36000</v>
      </c>
      <c r="H14" s="84">
        <f>($G$12*60%)*'423'!$C$6+H13</f>
        <v>144000</v>
      </c>
    </row>
    <row r="15" spans="2:8" ht="12.75">
      <c r="B15" s="37">
        <v>4</v>
      </c>
      <c r="C15" s="37">
        <f>C16-1</f>
        <v>4</v>
      </c>
      <c r="D15" s="84">
        <f>'423'!$C$4</f>
        <v>10000</v>
      </c>
      <c r="E15" s="84">
        <f t="shared" si="0"/>
        <v>4000</v>
      </c>
      <c r="F15" s="84">
        <f>C14*('423'!$C$4/'423'!$C$6)</f>
        <v>6000</v>
      </c>
      <c r="G15" s="84">
        <f>'423'!$C$5*C15</f>
        <v>48000</v>
      </c>
      <c r="H15" s="84">
        <f>($G$12*40%)*'423'!$C$6+H14</f>
        <v>168000</v>
      </c>
    </row>
    <row r="16" spans="2:8" ht="12.75">
      <c r="B16" s="37">
        <v>5</v>
      </c>
      <c r="C16" s="37">
        <f>'423'!$C$6</f>
        <v>5</v>
      </c>
      <c r="D16" s="84">
        <f>'423'!$C$4</f>
        <v>10000</v>
      </c>
      <c r="E16" s="84">
        <f t="shared" si="0"/>
        <v>2000</v>
      </c>
      <c r="F16" s="84">
        <f>C15*('423'!$C$4/'423'!$C$6)</f>
        <v>8000</v>
      </c>
      <c r="G16" s="84">
        <f>'423'!$C$5*C16</f>
        <v>60000</v>
      </c>
      <c r="H16" s="84">
        <f>($G$12*20%)*'423'!$C$6+$H$15</f>
        <v>180000</v>
      </c>
    </row>
    <row r="17" spans="2:8" ht="12.75">
      <c r="B17" s="37">
        <v>6</v>
      </c>
      <c r="C17" s="37">
        <f>'423'!$C$6</f>
        <v>5</v>
      </c>
      <c r="D17" s="84">
        <f>'423'!$C$4</f>
        <v>10000</v>
      </c>
      <c r="E17" s="84">
        <f t="shared" si="0"/>
        <v>0</v>
      </c>
      <c r="F17" s="84">
        <f>C16*('423'!$C$4/'423'!$C$6)</f>
        <v>10000</v>
      </c>
      <c r="G17" s="84">
        <f>'423'!$C$5*C17</f>
        <v>60000</v>
      </c>
      <c r="H17" s="84">
        <f>($G$12*20%)*'423'!$C$6+$H$15</f>
        <v>180000</v>
      </c>
    </row>
    <row r="18" spans="2:8" ht="12.75">
      <c r="B18" s="37">
        <v>7</v>
      </c>
      <c r="C18" s="37">
        <f>'423'!$C$6</f>
        <v>5</v>
      </c>
      <c r="D18" s="84">
        <f>'423'!$C$4</f>
        <v>10000</v>
      </c>
      <c r="E18" s="84">
        <f t="shared" si="0"/>
        <v>0</v>
      </c>
      <c r="F18" s="84">
        <f>C17*('423'!$C$4/'423'!$C$6)</f>
        <v>10000</v>
      </c>
      <c r="G18" s="84">
        <f>'423'!$C$5*C18</f>
        <v>60000</v>
      </c>
      <c r="H18" s="84">
        <f>($G$12*20%)*'423'!$C$6+$H$15</f>
        <v>180000</v>
      </c>
    </row>
  </sheetData>
  <mergeCells count="1">
    <mergeCell ref="E10:F10"/>
  </mergeCells>
  <printOptions/>
  <pageMargins left="0.75" right="0.75" top="1" bottom="1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Tabelle149"/>
  <dimension ref="B4:M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46" customWidth="1"/>
    <col min="2" max="2" width="17.00390625" style="46" customWidth="1"/>
    <col min="3" max="3" width="13.140625" style="46" customWidth="1"/>
    <col min="4" max="4" width="20.57421875" style="46" customWidth="1"/>
    <col min="5" max="5" width="17.140625" style="46" customWidth="1"/>
    <col min="6" max="6" width="19.8515625" style="46" customWidth="1"/>
    <col min="7" max="7" width="14.7109375" style="46" customWidth="1"/>
    <col min="8" max="16384" width="11.421875" style="46" customWidth="1"/>
  </cols>
  <sheetData>
    <row r="4" spans="2:4" ht="12.75">
      <c r="B4" s="45" t="s">
        <v>469</v>
      </c>
      <c r="C4" s="45"/>
      <c r="D4" s="45"/>
    </row>
    <row r="5" spans="2:5" ht="12.75">
      <c r="B5" s="45" t="s">
        <v>468</v>
      </c>
      <c r="C5" s="64">
        <v>18000</v>
      </c>
      <c r="D5" s="45" t="s">
        <v>106</v>
      </c>
      <c r="E5" s="45" t="s">
        <v>301</v>
      </c>
    </row>
    <row r="6" spans="2:6" ht="12.75">
      <c r="B6" s="45" t="s">
        <v>141</v>
      </c>
      <c r="C6" s="66">
        <v>0.06</v>
      </c>
      <c r="D6" s="45"/>
      <c r="E6" s="45" t="s">
        <v>141</v>
      </c>
      <c r="F6" s="66">
        <v>0.06</v>
      </c>
    </row>
    <row r="7" spans="2:6" ht="25.5">
      <c r="B7" s="45" t="s">
        <v>330</v>
      </c>
      <c r="C7" s="45">
        <v>5</v>
      </c>
      <c r="D7" s="45"/>
      <c r="E7" s="45" t="s">
        <v>330</v>
      </c>
      <c r="F7" s="45">
        <v>7</v>
      </c>
    </row>
    <row r="8" spans="2:4" ht="12.75">
      <c r="B8" s="45"/>
      <c r="C8" s="45"/>
      <c r="D8" s="45"/>
    </row>
    <row r="9" spans="2:6" ht="12.75">
      <c r="B9" s="45" t="s">
        <v>470</v>
      </c>
      <c r="C9" s="45"/>
      <c r="D9" s="45"/>
      <c r="E9" s="45" t="s">
        <v>472</v>
      </c>
      <c r="F9" s="45"/>
    </row>
    <row r="10" spans="2:6" ht="12.75">
      <c r="B10" s="45" t="s">
        <v>141</v>
      </c>
      <c r="C10" s="66">
        <v>0.06</v>
      </c>
      <c r="D10" s="45"/>
      <c r="E10" s="45" t="s">
        <v>141</v>
      </c>
      <c r="F10" s="66">
        <v>0.06</v>
      </c>
    </row>
    <row r="11" spans="2:6" ht="25.5">
      <c r="B11" s="45" t="s">
        <v>330</v>
      </c>
      <c r="C11" s="45">
        <v>3</v>
      </c>
      <c r="D11" s="45"/>
      <c r="E11" s="45" t="s">
        <v>330</v>
      </c>
      <c r="F11" s="45">
        <v>3</v>
      </c>
    </row>
    <row r="12" spans="2:4" ht="12.75">
      <c r="B12" s="45"/>
      <c r="C12" s="45"/>
      <c r="D12" s="45"/>
    </row>
    <row r="13" spans="2:6" ht="12.75">
      <c r="B13" s="45" t="s">
        <v>471</v>
      </c>
      <c r="C13" s="45"/>
      <c r="D13" s="45"/>
      <c r="E13" s="45"/>
      <c r="F13" s="78"/>
    </row>
    <row r="14" spans="2:4" ht="12.75">
      <c r="B14" s="45" t="s">
        <v>141</v>
      </c>
      <c r="C14" s="66">
        <v>0.06</v>
      </c>
      <c r="D14" s="45"/>
    </row>
    <row r="15" spans="2:4" ht="25.5">
      <c r="B15" s="45" t="s">
        <v>330</v>
      </c>
      <c r="C15" s="45">
        <v>7</v>
      </c>
      <c r="D15" s="45"/>
    </row>
    <row r="18" spans="2:8" ht="12.75">
      <c r="B18" s="37" t="s">
        <v>469</v>
      </c>
      <c r="C18" s="83">
        <f>((((1+'426 &amp; 427-1&amp;2 &amp; 428'!$C$6)^'426 &amp; 427-1&amp;2 &amp; 428'!$C$7)-1)/'426 &amp; 427-1&amp;2 &amp; 428'!$C$6)*(1/((1+'426 &amp; 427-1&amp;2 &amp; 428'!$C$6)^'426 &amp; 427-1&amp;2 &amp; 428'!$C$7))</f>
        <v>4.212363785565719</v>
      </c>
      <c r="D18" s="56" t="s">
        <v>331</v>
      </c>
      <c r="E18" s="84">
        <f>'426 &amp; 427-1&amp;2 &amp; 428'!$C$5</f>
        <v>18000</v>
      </c>
      <c r="F18" s="85" t="s">
        <v>169</v>
      </c>
      <c r="G18" s="86">
        <f>((((1+'426 &amp; 427-1&amp;2 &amp; 428'!$C$6)^'426 &amp; 427-1&amp;2 &amp; 428'!$C$7)-1)/'426 &amp; 427-1&amp;2 &amp; 428'!$C$6)*(1/((1+'426 &amp; 427-1&amp;2 &amp; 428'!$C$6)^'426 &amp; 427-1&amp;2 &amp; 428'!$C$7))*'426 &amp; 427-1&amp;2 &amp; 428'!$C$5</f>
        <v>75822.54814018295</v>
      </c>
      <c r="H18" s="37" t="s">
        <v>106</v>
      </c>
    </row>
    <row r="19" spans="2:8" ht="12.75">
      <c r="B19" s="37" t="s">
        <v>470</v>
      </c>
      <c r="C19" s="86">
        <f>$G$18</f>
        <v>75822.54814018295</v>
      </c>
      <c r="D19" s="56" t="s">
        <v>331</v>
      </c>
      <c r="E19" s="87">
        <f>1/((1+'426 &amp; 427-1&amp;2 &amp; 428'!$C$10)^'426 &amp; 427-1&amp;2 &amp; 428'!$C$11)</f>
        <v>0.8396192830323016</v>
      </c>
      <c r="F19" s="85" t="s">
        <v>169</v>
      </c>
      <c r="G19" s="86">
        <f>C19*E19</f>
        <v>63662.07350714258</v>
      </c>
      <c r="H19" s="37" t="s">
        <v>106</v>
      </c>
    </row>
    <row r="20" spans="2:8" ht="12.75">
      <c r="B20" s="37" t="s">
        <v>471</v>
      </c>
      <c r="C20" s="86">
        <f>$G$18</f>
        <v>75822.54814018295</v>
      </c>
      <c r="D20" s="56" t="s">
        <v>331</v>
      </c>
      <c r="E20" s="87">
        <f>1/((1+'426 &amp; 427-1&amp;2 &amp; 428'!$C$14)^'426 &amp; 427-1&amp;2 &amp; 428'!$C$15)</f>
        <v>0.665057113622336</v>
      </c>
      <c r="F20" s="85" t="s">
        <v>169</v>
      </c>
      <c r="G20" s="86">
        <f>C20*E20</f>
        <v>50426.32501360069</v>
      </c>
      <c r="H20" s="37" t="s">
        <v>106</v>
      </c>
    </row>
    <row r="21" spans="2:8" ht="12.75">
      <c r="B21" s="37" t="s">
        <v>301</v>
      </c>
      <c r="C21" s="86">
        <f>$G$20</f>
        <v>50426.32501360069</v>
      </c>
      <c r="D21" s="56" t="s">
        <v>331</v>
      </c>
      <c r="E21" s="88">
        <f>(C21*((1+$F$6)^$F$7)*(((1+$F$6)-1)/(((1+$F$6)^$F$7)-1)))/C21</f>
        <v>0.17913501805901083</v>
      </c>
      <c r="F21" s="85" t="s">
        <v>169</v>
      </c>
      <c r="G21" s="86">
        <f>C21*E21</f>
        <v>9033.12064196091</v>
      </c>
      <c r="H21" s="37" t="s">
        <v>106</v>
      </c>
    </row>
    <row r="22" spans="2:8" ht="12.75">
      <c r="B22" s="37" t="s">
        <v>472</v>
      </c>
      <c r="C22" s="86">
        <f>G21</f>
        <v>9033.12064196091</v>
      </c>
      <c r="D22" s="56" t="s">
        <v>331</v>
      </c>
      <c r="E22" s="88">
        <f>((((1+$F$10)^$F$11)-1)/$F$10)*(1/((1+$F$10)^$F$11))</f>
        <v>2.67301194946164</v>
      </c>
      <c r="F22" s="85" t="s">
        <v>169</v>
      </c>
      <c r="G22" s="86">
        <f>C22*E22</f>
        <v>24145.63941689011</v>
      </c>
      <c r="H22" s="37" t="s">
        <v>106</v>
      </c>
    </row>
    <row r="25" spans="2:8" ht="65.25" customHeight="1">
      <c r="B25" s="60" t="s">
        <v>473</v>
      </c>
      <c r="C25" s="114" t="s">
        <v>515</v>
      </c>
      <c r="D25" s="60" t="s">
        <v>516</v>
      </c>
      <c r="E25" s="60" t="s">
        <v>517</v>
      </c>
      <c r="F25" s="60" t="s">
        <v>518</v>
      </c>
      <c r="G25" s="114" t="s">
        <v>519</v>
      </c>
      <c r="H25" s="45"/>
    </row>
    <row r="26" spans="2:7" ht="6.75" customHeight="1">
      <c r="B26" s="37"/>
      <c r="C26" s="37"/>
      <c r="D26" s="37"/>
      <c r="E26" s="37"/>
      <c r="F26" s="37"/>
      <c r="G26" s="37"/>
    </row>
    <row r="27" spans="2:7" ht="12.75">
      <c r="B27" s="112" t="s">
        <v>474</v>
      </c>
      <c r="C27" s="86">
        <f>$C$30*(1/((1+$C$6)^($B$30-B27)))</f>
        <v>63662.07350714258</v>
      </c>
      <c r="D27" s="86">
        <f>$C$22*((((1+$C$6)^($B$30-B27))-1)/$C$6)*(1/((1+$C$6)^($B$30-B27)))</f>
        <v>24145.63941689011</v>
      </c>
      <c r="E27" s="86">
        <f>C27-D27</f>
        <v>39516.43409025247</v>
      </c>
      <c r="F27" s="86">
        <f>E27</f>
        <v>39516.43409025247</v>
      </c>
      <c r="G27" s="86">
        <f>E27</f>
        <v>39516.43409025247</v>
      </c>
    </row>
    <row r="28" spans="2:7" ht="12.75">
      <c r="B28" s="112" t="s">
        <v>475</v>
      </c>
      <c r="C28" s="86">
        <f>$C$30*(1/((1+$C$6)^($B$30-B28)))</f>
        <v>67481.79791757114</v>
      </c>
      <c r="D28" s="86">
        <f>$C$22*((((1+$C$6)^($B$30-B28))-1)/$C$6)*(1/((1+$C$6)^($B$30-B28)))</f>
        <v>16561.25713994259</v>
      </c>
      <c r="E28" s="86">
        <f>C28-D28</f>
        <v>50920.54077762854</v>
      </c>
      <c r="F28" s="86">
        <f>E28-E27</f>
        <v>11404.106687376072</v>
      </c>
      <c r="G28" s="86">
        <f>E28</f>
        <v>50920.54077762854</v>
      </c>
    </row>
    <row r="29" spans="2:7" ht="12.75">
      <c r="B29" s="112" t="s">
        <v>476</v>
      </c>
      <c r="C29" s="86">
        <f>$C$30*(1/((1+$C$6)^($B$30-B29)))</f>
        <v>71530.70579262542</v>
      </c>
      <c r="D29" s="86">
        <f>$C$22*((((1+$C$6)^($B$30-B29))-1)/$C$6)*(1/((1+$C$6)^($B$30-B29)))</f>
        <v>8521.811926378223</v>
      </c>
      <c r="E29" s="86">
        <f>C29-D29</f>
        <v>63008.8938662472</v>
      </c>
      <c r="F29" s="86">
        <f>E29-E28</f>
        <v>12088.353088618656</v>
      </c>
      <c r="G29" s="86">
        <f>E29</f>
        <v>63008.8938662472</v>
      </c>
    </row>
    <row r="30" spans="2:7" ht="12.75">
      <c r="B30" s="112" t="s">
        <v>477</v>
      </c>
      <c r="C30" s="86">
        <f>$G$18</f>
        <v>75822.54814018295</v>
      </c>
      <c r="D30" s="86">
        <f>$C$22*((((1+$C$6)^($B$30-B30))-1)/$C$6)*(1/((1+$C$6)^($B$30-B30)))</f>
        <v>0</v>
      </c>
      <c r="E30" s="86">
        <f>C30-D30</f>
        <v>75822.54814018295</v>
      </c>
      <c r="F30" s="86">
        <f>E30-E29</f>
        <v>12813.654273935746</v>
      </c>
      <c r="G30" s="86">
        <f>E30</f>
        <v>75822.54814018295</v>
      </c>
    </row>
    <row r="31" spans="2:7" ht="12.75">
      <c r="B31" s="105"/>
      <c r="C31" s="45"/>
      <c r="D31" s="45"/>
      <c r="E31" s="45"/>
      <c r="F31" s="45"/>
      <c r="G31" s="45"/>
    </row>
    <row r="32" spans="2:7" ht="25.5">
      <c r="B32" s="60" t="s">
        <v>478</v>
      </c>
      <c r="C32" s="60" t="s">
        <v>520</v>
      </c>
      <c r="D32" s="60" t="s">
        <v>521</v>
      </c>
      <c r="E32" s="60" t="s">
        <v>522</v>
      </c>
      <c r="F32" s="60" t="s">
        <v>523</v>
      </c>
      <c r="G32" s="45"/>
    </row>
    <row r="33" spans="2:7" ht="12.75">
      <c r="B33" s="37"/>
      <c r="C33" s="37"/>
      <c r="D33" s="37"/>
      <c r="E33" s="37"/>
      <c r="F33" s="37"/>
      <c r="G33" s="45"/>
    </row>
    <row r="34" spans="2:7" ht="25.5">
      <c r="B34" s="113" t="s">
        <v>480</v>
      </c>
      <c r="C34" s="86">
        <v>0</v>
      </c>
      <c r="D34" s="86">
        <v>0</v>
      </c>
      <c r="E34" s="86">
        <v>0</v>
      </c>
      <c r="F34" s="86"/>
      <c r="G34" s="45"/>
    </row>
    <row r="35" spans="2:7" ht="12.75">
      <c r="B35" s="109">
        <v>37256</v>
      </c>
      <c r="C35" s="86">
        <f>$C$22</f>
        <v>9033.12064196091</v>
      </c>
      <c r="D35" s="86">
        <f>C35</f>
        <v>9033.12064196091</v>
      </c>
      <c r="E35" s="86"/>
      <c r="F35" s="86"/>
      <c r="G35" s="45"/>
    </row>
    <row r="36" spans="2:7" ht="12.75">
      <c r="B36" s="109">
        <v>37621</v>
      </c>
      <c r="C36" s="86">
        <f>$C$22</f>
        <v>9033.12064196091</v>
      </c>
      <c r="D36" s="86">
        <f>C36</f>
        <v>9033.12064196091</v>
      </c>
      <c r="E36" s="86">
        <f>D35*$C$6</f>
        <v>541.9872385176545</v>
      </c>
      <c r="F36" s="86"/>
      <c r="G36" s="45"/>
    </row>
    <row r="37" spans="2:7" ht="12.75">
      <c r="B37" s="37"/>
      <c r="C37" s="86"/>
      <c r="D37" s="86">
        <f>E36</f>
        <v>541.9872385176545</v>
      </c>
      <c r="E37" s="86"/>
      <c r="F37" s="86"/>
      <c r="G37" s="45"/>
    </row>
    <row r="38" spans="2:7" ht="12.75">
      <c r="B38" s="37"/>
      <c r="C38" s="86"/>
      <c r="D38" s="86">
        <f>D35+D36+D37</f>
        <v>18608.228522439473</v>
      </c>
      <c r="E38" s="86"/>
      <c r="F38" s="86"/>
      <c r="G38" s="45"/>
    </row>
    <row r="39" spans="2:7" ht="12.75">
      <c r="B39" s="109">
        <v>37986</v>
      </c>
      <c r="C39" s="86">
        <f>$C$22</f>
        <v>9033.12064196091</v>
      </c>
      <c r="D39" s="86">
        <f>C39</f>
        <v>9033.12064196091</v>
      </c>
      <c r="E39" s="86">
        <f>D38*$C$6</f>
        <v>1116.4937113463684</v>
      </c>
      <c r="F39" s="86"/>
      <c r="G39" s="45"/>
    </row>
    <row r="40" spans="2:7" ht="12.75">
      <c r="B40" s="37"/>
      <c r="C40" s="86"/>
      <c r="D40" s="86">
        <f>E39</f>
        <v>1116.4937113463684</v>
      </c>
      <c r="E40" s="86"/>
      <c r="F40" s="86"/>
      <c r="G40" s="45"/>
    </row>
    <row r="41" spans="2:7" ht="12.75">
      <c r="B41" s="37"/>
      <c r="C41" s="86"/>
      <c r="D41" s="86">
        <f>D38+D39+D40</f>
        <v>28757.842875746748</v>
      </c>
      <c r="E41" s="86"/>
      <c r="F41" s="86"/>
      <c r="G41" s="45"/>
    </row>
    <row r="42" spans="2:7" ht="25.5">
      <c r="B42" s="113" t="s">
        <v>479</v>
      </c>
      <c r="C42" s="86"/>
      <c r="D42" s="86"/>
      <c r="E42" s="86"/>
      <c r="F42" s="86"/>
      <c r="G42" s="45"/>
    </row>
    <row r="43" spans="2:7" ht="12.75">
      <c r="B43" s="109">
        <v>38352</v>
      </c>
      <c r="C43" s="86">
        <f>$C$22</f>
        <v>9033.12064196091</v>
      </c>
      <c r="D43" s="86">
        <f>C43</f>
        <v>9033.12064196091</v>
      </c>
      <c r="E43" s="86">
        <f>D41*$C$6</f>
        <v>1725.4705725448048</v>
      </c>
      <c r="F43" s="86"/>
      <c r="G43" s="45"/>
    </row>
    <row r="44" spans="2:7" ht="12.75">
      <c r="B44" s="37"/>
      <c r="C44" s="86"/>
      <c r="D44" s="86">
        <f>E43</f>
        <v>1725.4705725448048</v>
      </c>
      <c r="E44" s="86"/>
      <c r="F44" s="86"/>
      <c r="G44" s="45"/>
    </row>
    <row r="45" spans="2:7" ht="12.75">
      <c r="B45" s="37"/>
      <c r="C45" s="86"/>
      <c r="D45" s="86">
        <f>D41+D43+D44</f>
        <v>39516.434090252464</v>
      </c>
      <c r="E45" s="86"/>
      <c r="F45" s="86">
        <f>D45</f>
        <v>39516.434090252464</v>
      </c>
      <c r="G45" s="45"/>
    </row>
    <row r="46" spans="2:7" ht="12.75">
      <c r="B46" s="45"/>
      <c r="C46" s="45"/>
      <c r="D46" s="45"/>
      <c r="E46" s="45"/>
      <c r="F46" s="45"/>
      <c r="G46" s="45"/>
    </row>
    <row r="47" spans="2:7" ht="12.75">
      <c r="B47" s="45"/>
      <c r="C47" s="45"/>
      <c r="D47" s="45"/>
      <c r="E47" s="45"/>
      <c r="F47" s="45"/>
      <c r="G47" s="45"/>
    </row>
    <row r="48" spans="2:7" ht="51">
      <c r="B48" s="60" t="s">
        <v>473</v>
      </c>
      <c r="C48" s="60" t="s">
        <v>524</v>
      </c>
      <c r="D48" s="60" t="s">
        <v>517</v>
      </c>
      <c r="E48" s="60" t="s">
        <v>525</v>
      </c>
      <c r="F48" s="60" t="s">
        <v>526</v>
      </c>
      <c r="G48" s="60" t="s">
        <v>527</v>
      </c>
    </row>
    <row r="49" spans="2:7" ht="12.75">
      <c r="B49" s="85" t="s">
        <v>481</v>
      </c>
      <c r="C49" s="21">
        <f aca="true" t="shared" si="0" ref="C49:C54">$C$55*(1/((1+$C$6)^($B$55-B49)))</f>
        <v>53451.90451441674</v>
      </c>
      <c r="D49" s="37">
        <v>0</v>
      </c>
      <c r="E49" s="37">
        <v>0</v>
      </c>
      <c r="F49" s="37">
        <v>0</v>
      </c>
      <c r="G49" s="37">
        <v>0</v>
      </c>
    </row>
    <row r="50" spans="2:7" ht="12.75">
      <c r="B50" s="85" t="s">
        <v>482</v>
      </c>
      <c r="C50" s="21">
        <f t="shared" si="0"/>
        <v>56659.01878528175</v>
      </c>
      <c r="D50" s="37">
        <v>0</v>
      </c>
      <c r="E50" s="37">
        <v>0</v>
      </c>
      <c r="F50" s="37">
        <v>0</v>
      </c>
      <c r="G50" s="37">
        <v>0</v>
      </c>
    </row>
    <row r="51" spans="2:13" ht="12.75">
      <c r="B51" s="85" t="s">
        <v>483</v>
      </c>
      <c r="C51" s="21">
        <f t="shared" si="0"/>
        <v>60058.55991239866</v>
      </c>
      <c r="D51" s="37">
        <v>0</v>
      </c>
      <c r="E51" s="37">
        <v>0</v>
      </c>
      <c r="F51" s="37">
        <v>0</v>
      </c>
      <c r="G51" s="2">
        <v>0</v>
      </c>
      <c r="H51" s="11"/>
      <c r="I51" s="10"/>
      <c r="J51" s="10"/>
      <c r="K51" s="10"/>
      <c r="L51" s="10"/>
      <c r="M51" s="10"/>
    </row>
    <row r="52" spans="2:13" ht="12.75">
      <c r="B52" s="85" t="s">
        <v>474</v>
      </c>
      <c r="C52" s="21">
        <f t="shared" si="0"/>
        <v>63662.07350714258</v>
      </c>
      <c r="D52" s="21">
        <f>C52-(((((1+$C$6)^($B$55-B52))-1)/$C$6)*(1/((1+$C$6)^($B$55-B52)))*$C$22)</f>
        <v>39516.43409025247</v>
      </c>
      <c r="E52" s="86">
        <f>D52</f>
        <v>39516.43409025247</v>
      </c>
      <c r="F52" s="37">
        <v>0</v>
      </c>
      <c r="G52" s="21">
        <f>E52+F52</f>
        <v>39516.43409025247</v>
      </c>
      <c r="H52" s="10"/>
      <c r="I52" s="10"/>
      <c r="J52" s="10"/>
      <c r="K52" s="14"/>
      <c r="L52" s="10"/>
      <c r="M52" s="12"/>
    </row>
    <row r="53" spans="2:13" ht="12.75">
      <c r="B53" s="85" t="s">
        <v>475</v>
      </c>
      <c r="C53" s="21">
        <f t="shared" si="0"/>
        <v>67481.79791757114</v>
      </c>
      <c r="D53" s="21">
        <f>C53-(((((1+$C$6)^($B$55-B53))-1)/$C$6)*(1/((1+$C$6)^($B$55-B53)))*$C$22)</f>
        <v>50920.54077762854</v>
      </c>
      <c r="E53" s="86">
        <f>D53-D52</f>
        <v>11404.106687376072</v>
      </c>
      <c r="F53" s="37">
        <v>0</v>
      </c>
      <c r="G53" s="21">
        <f aca="true" t="shared" si="1" ref="G53:G60">E53+F53</f>
        <v>11404.106687376072</v>
      </c>
      <c r="H53" s="10"/>
      <c r="I53" s="79"/>
      <c r="J53" s="15"/>
      <c r="K53" s="15"/>
      <c r="L53" s="15"/>
      <c r="M53" s="15"/>
    </row>
    <row r="54" spans="2:13" ht="12.75">
      <c r="B54" s="85" t="s">
        <v>476</v>
      </c>
      <c r="C54" s="21">
        <f t="shared" si="0"/>
        <v>71530.70579262542</v>
      </c>
      <c r="D54" s="21">
        <f>C54-(((((1+$C$6)^($B$55-B54))-1)/$C$6)*(1/((1+$C$6)^($B$55-B54)))*$C$22)</f>
        <v>63008.89386624719</v>
      </c>
      <c r="E54" s="86">
        <f aca="true" t="shared" si="2" ref="E54:E60">D54-D53</f>
        <v>12088.353088618649</v>
      </c>
      <c r="F54" s="37">
        <v>0</v>
      </c>
      <c r="G54" s="21">
        <f t="shared" si="1"/>
        <v>12088.353088618649</v>
      </c>
      <c r="H54" s="10"/>
      <c r="I54" s="15"/>
      <c r="J54" s="15"/>
      <c r="K54" s="15"/>
      <c r="L54" s="15"/>
      <c r="M54" s="10"/>
    </row>
    <row r="55" spans="2:13" ht="12.75">
      <c r="B55" s="85" t="s">
        <v>477</v>
      </c>
      <c r="C55" s="21">
        <f>$G$18</f>
        <v>75822.54814018295</v>
      </c>
      <c r="D55" s="21">
        <f>C55-(((((1+$C$6)^($B$55-B55))-1)/$C$6)*(1/((1+$C$6)^($B$55-B55)))*$C$22)</f>
        <v>75822.54814018295</v>
      </c>
      <c r="E55" s="86">
        <f t="shared" si="2"/>
        <v>12813.654273935754</v>
      </c>
      <c r="F55" s="37">
        <v>0</v>
      </c>
      <c r="G55" s="21">
        <f t="shared" si="1"/>
        <v>12813.654273935754</v>
      </c>
      <c r="H55" s="10"/>
      <c r="I55" s="15"/>
      <c r="J55" s="15"/>
      <c r="K55" s="15"/>
      <c r="L55" s="15"/>
      <c r="M55" s="14"/>
    </row>
    <row r="56" spans="2:13" ht="12.75">
      <c r="B56" s="85" t="s">
        <v>484</v>
      </c>
      <c r="C56" s="21">
        <f>((((1+$C$6)^($B$60-B56))-1)/$C$6)*(1/((1+$C$6)^($B$60-B56)))*18000</f>
        <v>62371.90102859389</v>
      </c>
      <c r="D56" s="21">
        <f>C56</f>
        <v>62371.90102859389</v>
      </c>
      <c r="E56" s="86">
        <f t="shared" si="2"/>
        <v>-13450.647111589053</v>
      </c>
      <c r="F56" s="86">
        <f>$C$5</f>
        <v>18000</v>
      </c>
      <c r="G56" s="21">
        <f t="shared" si="1"/>
        <v>4549.352888410947</v>
      </c>
      <c r="H56" s="10"/>
      <c r="I56" s="15"/>
      <c r="J56" s="15"/>
      <c r="K56" s="15"/>
      <c r="L56" s="15"/>
      <c r="M56" s="15"/>
    </row>
    <row r="57" spans="2:13" ht="12.75">
      <c r="B57" s="85" t="s">
        <v>485</v>
      </c>
      <c r="C57" s="21">
        <f>((((1+$C$6)^($B$60-B57))-1)/$C$6)*(1/((1+$C$6)^($B$60-B57)))*18000</f>
        <v>48114.21509030952</v>
      </c>
      <c r="D57" s="21">
        <f>C57</f>
        <v>48114.21509030952</v>
      </c>
      <c r="E57" s="86">
        <f t="shared" si="2"/>
        <v>-14257.685938284376</v>
      </c>
      <c r="F57" s="86">
        <f>$C$5</f>
        <v>18000</v>
      </c>
      <c r="G57" s="21">
        <f t="shared" si="1"/>
        <v>3742.314061715624</v>
      </c>
      <c r="H57" s="10"/>
      <c r="I57" s="15"/>
      <c r="J57" s="15"/>
      <c r="K57" s="15"/>
      <c r="L57" s="15"/>
      <c r="M57" s="15"/>
    </row>
    <row r="58" spans="2:13" ht="12.75">
      <c r="B58" s="85" t="s">
        <v>486</v>
      </c>
      <c r="C58" s="21">
        <f>((((1+$C$6)^($B$60-B58))-1)/$C$6)*(1/((1+$C$6)^($B$60-B58)))*18000</f>
        <v>33001.06799572806</v>
      </c>
      <c r="D58" s="21">
        <f>C58</f>
        <v>33001.06799572806</v>
      </c>
      <c r="E58" s="86">
        <f t="shared" si="2"/>
        <v>-15113.147094581458</v>
      </c>
      <c r="F58" s="86">
        <f>$C$5</f>
        <v>18000</v>
      </c>
      <c r="G58" s="21">
        <f t="shared" si="1"/>
        <v>2886.852905418542</v>
      </c>
      <c r="H58" s="10"/>
      <c r="I58" s="15"/>
      <c r="J58" s="15"/>
      <c r="K58" s="15"/>
      <c r="L58" s="15"/>
      <c r="M58" s="15"/>
    </row>
    <row r="59" spans="2:13" ht="12.75">
      <c r="B59" s="85" t="s">
        <v>487</v>
      </c>
      <c r="C59" s="21">
        <f>((((1+$C$6)^($B$60-B59))-1)/$C$6)*(1/((1+$C$6)^($B$60-B59)))*18000</f>
        <v>16981.132075471713</v>
      </c>
      <c r="D59" s="21">
        <f>C59</f>
        <v>16981.132075471713</v>
      </c>
      <c r="E59" s="86">
        <f t="shared" si="2"/>
        <v>-16019.935920256346</v>
      </c>
      <c r="F59" s="86">
        <f>$C$5</f>
        <v>18000</v>
      </c>
      <c r="G59" s="21">
        <f t="shared" si="1"/>
        <v>1980.0640797436536</v>
      </c>
      <c r="H59" s="10"/>
      <c r="I59" s="15"/>
      <c r="J59" s="15"/>
      <c r="K59" s="15"/>
      <c r="L59" s="15"/>
      <c r="M59" s="15"/>
    </row>
    <row r="60" spans="2:13" ht="12.75">
      <c r="B60" s="85" t="s">
        <v>488</v>
      </c>
      <c r="C60" s="21">
        <f>((((1+$C$6)^($B$60-B60))-1)/$C$6)*(1/((1+$C$6)^($B$60-B60)))*18000</f>
        <v>0</v>
      </c>
      <c r="D60" s="21">
        <f>C60</f>
        <v>0</v>
      </c>
      <c r="E60" s="86">
        <f t="shared" si="2"/>
        <v>-16981.132075471713</v>
      </c>
      <c r="F60" s="86">
        <f>$C$5</f>
        <v>18000</v>
      </c>
      <c r="G60" s="21">
        <f t="shared" si="1"/>
        <v>1018.8679245282874</v>
      </c>
      <c r="H60" s="10"/>
      <c r="I60" s="15"/>
      <c r="J60" s="15"/>
      <c r="K60" s="15"/>
      <c r="L60" s="15"/>
      <c r="M60" s="15"/>
    </row>
    <row r="61" spans="7:13" ht="12.75">
      <c r="G61" s="10"/>
      <c r="H61" s="10"/>
      <c r="I61" s="15"/>
      <c r="J61" s="15"/>
      <c r="K61" s="15"/>
      <c r="L61" s="15"/>
      <c r="M61" s="15"/>
    </row>
    <row r="62" spans="7:13" ht="12.75">
      <c r="G62" s="10"/>
      <c r="H62" s="10"/>
      <c r="I62" s="15"/>
      <c r="J62" s="15"/>
      <c r="K62" s="15"/>
      <c r="L62" s="15"/>
      <c r="M62" s="15"/>
    </row>
    <row r="63" spans="7:13" ht="12.75">
      <c r="G63" s="10"/>
      <c r="H63" s="10"/>
      <c r="I63" s="15"/>
      <c r="J63" s="15"/>
      <c r="K63" s="15"/>
      <c r="L63" s="15"/>
      <c r="M63" s="15"/>
    </row>
    <row r="64" spans="7:13" ht="12.75">
      <c r="G64" s="10"/>
      <c r="H64" s="10"/>
      <c r="I64" s="15"/>
      <c r="J64" s="15"/>
      <c r="K64" s="15"/>
      <c r="L64" s="15"/>
      <c r="M64" s="15"/>
    </row>
    <row r="65" spans="7:13" ht="12.75">
      <c r="G65" s="79"/>
      <c r="H65" s="79"/>
      <c r="I65" s="79"/>
      <c r="J65" s="79"/>
      <c r="K65" s="79"/>
      <c r="L65" s="79"/>
      <c r="M65" s="79"/>
    </row>
    <row r="66" spans="7:13" ht="12.75">
      <c r="G66" s="79"/>
      <c r="H66" s="79"/>
      <c r="I66" s="79"/>
      <c r="J66" s="79"/>
      <c r="K66" s="79"/>
      <c r="L66" s="79"/>
      <c r="M66" s="79"/>
    </row>
  </sheetData>
  <printOptions/>
  <pageMargins left="0.75" right="0.75" top="1" bottom="1" header="0.4921259845" footer="0.4921259845"/>
  <pageSetup orientation="portrait" paperSize="9"/>
  <ignoredErrors>
    <ignoredError sqref="B27:B30 B49:B60" numberStoredAsText="1"/>
  </ignoredErrors>
</worksheet>
</file>

<file path=xl/worksheets/sheet83.xml><?xml version="1.0" encoding="utf-8"?>
<worksheet xmlns="http://schemas.openxmlformats.org/spreadsheetml/2006/main" xmlns:r="http://schemas.openxmlformats.org/officeDocument/2006/relationships">
  <sheetPr codeName="Tabelle131"/>
  <dimension ref="B4:D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34" customWidth="1"/>
    <col min="2" max="2" width="27.28125" style="34" customWidth="1"/>
    <col min="3" max="4" width="11.421875" style="34" customWidth="1"/>
    <col min="5" max="5" width="13.28125" style="34" customWidth="1"/>
    <col min="6" max="16384" width="11.421875" style="34" customWidth="1"/>
  </cols>
  <sheetData>
    <row r="4" spans="2:4" ht="25.5">
      <c r="B4" s="45" t="s">
        <v>349</v>
      </c>
      <c r="C4" s="49">
        <v>100000</v>
      </c>
      <c r="D4" s="50" t="s">
        <v>106</v>
      </c>
    </row>
    <row r="5" spans="2:4" ht="12.75">
      <c r="B5" s="50" t="s">
        <v>350</v>
      </c>
      <c r="C5" s="49">
        <v>40000</v>
      </c>
      <c r="D5" s="50" t="s">
        <v>106</v>
      </c>
    </row>
    <row r="6" spans="2:4" ht="12.75">
      <c r="B6" s="50" t="s">
        <v>351</v>
      </c>
      <c r="C6" s="51">
        <v>0.3</v>
      </c>
      <c r="D6" s="50"/>
    </row>
    <row r="10" spans="2:4" ht="12.75">
      <c r="B10" s="150" t="s">
        <v>359</v>
      </c>
      <c r="C10" s="150"/>
      <c r="D10" s="150"/>
    </row>
    <row r="11" spans="2:4" ht="12.75">
      <c r="B11" s="37"/>
      <c r="C11" s="37"/>
      <c r="D11" s="37"/>
    </row>
    <row r="12" spans="2:4" ht="12.75">
      <c r="B12" s="37" t="s">
        <v>350</v>
      </c>
      <c r="C12" s="37" t="s">
        <v>354</v>
      </c>
      <c r="D12" s="37" t="s">
        <v>172</v>
      </c>
    </row>
    <row r="13" spans="2:4" ht="12.75">
      <c r="B13" s="37" t="s">
        <v>353</v>
      </c>
      <c r="C13" s="48">
        <f>'430'!$C$6</f>
        <v>0.3</v>
      </c>
      <c r="D13" s="48">
        <f>'430'!$C$6</f>
        <v>0.3</v>
      </c>
    </row>
    <row r="14" spans="2:4" ht="12.75">
      <c r="B14" s="37"/>
      <c r="C14" s="37"/>
      <c r="D14" s="37"/>
    </row>
    <row r="15" spans="2:4" ht="25.5">
      <c r="B15" s="37" t="s">
        <v>349</v>
      </c>
      <c r="C15" s="84">
        <f>'430'!$C$4</f>
        <v>100000</v>
      </c>
      <c r="D15" s="84">
        <f>'430'!$C$4</f>
        <v>100000</v>
      </c>
    </row>
    <row r="16" spans="2:4" ht="12.75">
      <c r="B16" s="37" t="s">
        <v>350</v>
      </c>
      <c r="C16" s="84">
        <f>IF(C12="Nein",0,'430'!$C$5)</f>
        <v>0</v>
      </c>
      <c r="D16" s="84">
        <f>IF(D12="Nein",0,'430'!$C$5)</f>
        <v>40000</v>
      </c>
    </row>
    <row r="17" spans="2:4" ht="12.75">
      <c r="B17" s="37" t="s">
        <v>355</v>
      </c>
      <c r="C17" s="84">
        <f>C15-C16</f>
        <v>100000</v>
      </c>
      <c r="D17" s="84">
        <f>D15-D16</f>
        <v>60000</v>
      </c>
    </row>
    <row r="18" spans="2:4" ht="12.75">
      <c r="B18" s="37" t="s">
        <v>353</v>
      </c>
      <c r="C18" s="84">
        <f>C17*'430'!$C$6</f>
        <v>30000</v>
      </c>
      <c r="D18" s="84">
        <f>D17*'430'!$C$6</f>
        <v>18000</v>
      </c>
    </row>
    <row r="19" spans="2:4" ht="12.75">
      <c r="B19" s="37" t="s">
        <v>356</v>
      </c>
      <c r="C19" s="84">
        <f>C17-C18</f>
        <v>70000</v>
      </c>
      <c r="D19" s="84">
        <f>D17-D18</f>
        <v>42000</v>
      </c>
    </row>
    <row r="20" spans="2:4" ht="12.75">
      <c r="B20" s="37" t="s">
        <v>352</v>
      </c>
      <c r="C20" s="84">
        <f>C16+C19</f>
        <v>70000</v>
      </c>
      <c r="D20" s="84">
        <f>D16+D19</f>
        <v>82000</v>
      </c>
    </row>
    <row r="21" spans="2:4" ht="12.75">
      <c r="B21" s="37"/>
      <c r="C21" s="84"/>
      <c r="D21" s="84"/>
    </row>
    <row r="22" spans="2:4" ht="51">
      <c r="B22" s="37" t="s">
        <v>357</v>
      </c>
      <c r="C22" s="84"/>
      <c r="D22" s="84">
        <f>D20-C20</f>
        <v>12000</v>
      </c>
    </row>
  </sheetData>
  <mergeCells count="1">
    <mergeCell ref="B10:D10"/>
  </mergeCells>
  <printOptions/>
  <pageMargins left="0.75" right="0.75" top="1" bottom="1" header="0.4921259845" footer="0.4921259845"/>
  <pageSetup orientation="portrait" paperSize="9"/>
  <ignoredErrors>
    <ignoredError sqref="C18:D18" formula="1"/>
  </ignoredErrors>
</worksheet>
</file>

<file path=xl/worksheets/sheet84.xml><?xml version="1.0" encoding="utf-8"?>
<worksheet xmlns="http://schemas.openxmlformats.org/spreadsheetml/2006/main" xmlns:r="http://schemas.openxmlformats.org/officeDocument/2006/relationships">
  <sheetPr codeName="Tabelle132"/>
  <dimension ref="B4:E2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421875" style="0" customWidth="1"/>
  </cols>
  <sheetData>
    <row r="4" spans="2:4" ht="25.5">
      <c r="B4" s="45" t="s">
        <v>349</v>
      </c>
      <c r="C4" s="49">
        <v>100000</v>
      </c>
      <c r="D4" s="50" t="s">
        <v>106</v>
      </c>
    </row>
    <row r="5" spans="2:4" ht="12.75">
      <c r="B5" s="50" t="s">
        <v>350</v>
      </c>
      <c r="C5" s="49">
        <v>40000</v>
      </c>
      <c r="D5" s="50" t="s">
        <v>106</v>
      </c>
    </row>
    <row r="6" spans="2:4" ht="12.75">
      <c r="B6" s="50" t="s">
        <v>351</v>
      </c>
      <c r="C6" s="51">
        <v>0.3</v>
      </c>
      <c r="D6" s="50"/>
    </row>
    <row r="10" spans="2:5" ht="12.75">
      <c r="B10" s="150" t="s">
        <v>359</v>
      </c>
      <c r="C10" s="150"/>
      <c r="D10" s="150"/>
      <c r="E10" s="150"/>
    </row>
    <row r="11" spans="2:5" ht="12.75">
      <c r="B11" s="37"/>
      <c r="C11" s="37"/>
      <c r="D11" s="37"/>
      <c r="E11" s="2"/>
    </row>
    <row r="12" spans="2:5" ht="12.75">
      <c r="B12" s="37" t="s">
        <v>350</v>
      </c>
      <c r="C12" s="37" t="s">
        <v>354</v>
      </c>
      <c r="D12" s="37" t="s">
        <v>172</v>
      </c>
      <c r="E12" s="2" t="s">
        <v>358</v>
      </c>
    </row>
    <row r="13" spans="2:5" ht="12.75">
      <c r="B13" s="37" t="s">
        <v>353</v>
      </c>
      <c r="C13" s="48">
        <f>'432'!$C$6</f>
        <v>0.3</v>
      </c>
      <c r="D13" s="48">
        <f>'432'!$C$6</f>
        <v>0.3</v>
      </c>
      <c r="E13" s="2"/>
    </row>
    <row r="14" spans="2:5" ht="12.75">
      <c r="B14" s="37"/>
      <c r="C14" s="37"/>
      <c r="D14" s="37"/>
      <c r="E14" s="2"/>
    </row>
    <row r="15" spans="2:5" ht="25.5">
      <c r="B15" s="37" t="s">
        <v>349</v>
      </c>
      <c r="C15" s="84">
        <f>'432'!$C$4</f>
        <v>100000</v>
      </c>
      <c r="D15" s="84">
        <f>'432'!$C$4</f>
        <v>100000</v>
      </c>
      <c r="E15" s="2"/>
    </row>
    <row r="16" spans="2:5" ht="12.75">
      <c r="B16" s="37" t="s">
        <v>350</v>
      </c>
      <c r="C16" s="84">
        <f>IF(C12="Nein",0,'432'!$C$5)</f>
        <v>0</v>
      </c>
      <c r="D16" s="84">
        <f>IF(D12="Nein",0,'432'!$C$5)</f>
        <v>40000</v>
      </c>
      <c r="E16" s="2"/>
    </row>
    <row r="17" spans="2:5" ht="12.75">
      <c r="B17" s="37" t="s">
        <v>355</v>
      </c>
      <c r="C17" s="84">
        <f>C15-C16</f>
        <v>100000</v>
      </c>
      <c r="D17" s="84">
        <f>D15-D16</f>
        <v>60000</v>
      </c>
      <c r="E17" s="2"/>
    </row>
    <row r="18" spans="2:5" ht="12.75">
      <c r="B18" s="37" t="s">
        <v>353</v>
      </c>
      <c r="C18" s="84">
        <f>C17*'432'!$C$6</f>
        <v>30000</v>
      </c>
      <c r="D18" s="84">
        <f>D17*'432'!$C$6</f>
        <v>18000</v>
      </c>
      <c r="E18" s="47">
        <f>C18-D18</f>
        <v>12000</v>
      </c>
    </row>
    <row r="19" spans="2:5" ht="12.75">
      <c r="B19" s="37" t="s">
        <v>360</v>
      </c>
      <c r="C19" s="84">
        <f>C17-C18</f>
        <v>70000</v>
      </c>
      <c r="D19" s="84">
        <f>D17-D18</f>
        <v>42000</v>
      </c>
      <c r="E19" s="47">
        <f>C19-D19</f>
        <v>28000</v>
      </c>
    </row>
    <row r="20" spans="2:5" ht="12.75">
      <c r="B20" s="37"/>
      <c r="C20" s="84"/>
      <c r="D20" s="84"/>
      <c r="E20" s="2"/>
    </row>
    <row r="21" spans="2:5" ht="38.25">
      <c r="B21" s="37" t="s">
        <v>361</v>
      </c>
      <c r="C21" s="84"/>
      <c r="D21" s="84"/>
      <c r="E21" s="62">
        <f>SUM(E18:E20)</f>
        <v>40000</v>
      </c>
    </row>
  </sheetData>
  <mergeCells count="1">
    <mergeCell ref="B10:E10"/>
  </mergeCells>
  <printOptions/>
  <pageMargins left="0.75" right="0.75" top="1" bottom="1" header="0.4921259845" footer="0.4921259845"/>
  <pageSetup orientation="portrait" paperSize="9"/>
  <ignoredErrors>
    <ignoredError sqref="C18:D18" formula="1"/>
  </ignoredErrors>
</worksheet>
</file>

<file path=xl/worksheets/sheet85.xml><?xml version="1.0" encoding="utf-8"?>
<worksheet xmlns="http://schemas.openxmlformats.org/spreadsheetml/2006/main" xmlns:r="http://schemas.openxmlformats.org/officeDocument/2006/relationships">
  <sheetPr codeName="Tabelle133"/>
  <dimension ref="B4:D22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8515625" style="0" customWidth="1"/>
  </cols>
  <sheetData>
    <row r="4" spans="2:4" ht="25.5">
      <c r="B4" s="45" t="s">
        <v>349</v>
      </c>
      <c r="C4" s="49">
        <v>30000</v>
      </c>
      <c r="D4" s="50" t="s">
        <v>106</v>
      </c>
    </row>
    <row r="5" spans="2:4" ht="12.75">
      <c r="B5" s="50" t="s">
        <v>350</v>
      </c>
      <c r="C5" s="49">
        <v>40000</v>
      </c>
      <c r="D5" s="50" t="s">
        <v>106</v>
      </c>
    </row>
    <row r="6" spans="2:4" ht="12.75">
      <c r="B6" s="50" t="s">
        <v>351</v>
      </c>
      <c r="C6" s="51">
        <v>0.3</v>
      </c>
      <c r="D6" s="50"/>
    </row>
    <row r="10" spans="2:4" ht="12.75">
      <c r="B10" s="150" t="s">
        <v>359</v>
      </c>
      <c r="C10" s="150"/>
      <c r="D10" s="150"/>
    </row>
    <row r="11" spans="2:4" ht="12.75">
      <c r="B11" s="37"/>
      <c r="C11" s="37"/>
      <c r="D11" s="37"/>
    </row>
    <row r="12" spans="2:4" ht="12.75">
      <c r="B12" s="37" t="s">
        <v>350</v>
      </c>
      <c r="C12" s="37" t="s">
        <v>354</v>
      </c>
      <c r="D12" s="37" t="s">
        <v>172</v>
      </c>
    </row>
    <row r="13" spans="2:4" ht="12.75">
      <c r="B13" s="37" t="s">
        <v>353</v>
      </c>
      <c r="C13" s="48">
        <f>'433'!$C$6</f>
        <v>0.3</v>
      </c>
      <c r="D13" s="48">
        <f>'433'!$C$6</f>
        <v>0.3</v>
      </c>
    </row>
    <row r="14" spans="2:4" ht="12.75">
      <c r="B14" s="37"/>
      <c r="C14" s="37"/>
      <c r="D14" s="37"/>
    </row>
    <row r="15" spans="2:4" ht="25.5">
      <c r="B15" s="37" t="s">
        <v>349</v>
      </c>
      <c r="C15" s="84">
        <f>'433'!$C$4</f>
        <v>30000</v>
      </c>
      <c r="D15" s="84">
        <f>'433'!$C$4</f>
        <v>30000</v>
      </c>
    </row>
    <row r="16" spans="2:4" ht="12.75">
      <c r="B16" s="37" t="s">
        <v>350</v>
      </c>
      <c r="C16" s="84">
        <f>IF(C12="Nein",0,'433'!$C$5)</f>
        <v>0</v>
      </c>
      <c r="D16" s="84">
        <f>IF(D12="Nein",0,'433'!$C$5)</f>
        <v>40000</v>
      </c>
    </row>
    <row r="17" spans="2:4" ht="12.75">
      <c r="B17" s="37" t="s">
        <v>355</v>
      </c>
      <c r="C17" s="84">
        <f>C15-C16</f>
        <v>30000</v>
      </c>
      <c r="D17" s="84">
        <f>D15-D16</f>
        <v>-10000</v>
      </c>
    </row>
    <row r="18" spans="2:4" ht="12.75">
      <c r="B18" s="37" t="s">
        <v>353</v>
      </c>
      <c r="C18" s="84">
        <f>IF((C17*'433'!$C$6)&lt;0,0,C17*'433'!$C$6)</f>
        <v>9000</v>
      </c>
      <c r="D18" s="84">
        <f>IF((D17*'433'!$C$6)&lt;0,0,D17*'433'!$C$6)</f>
        <v>0</v>
      </c>
    </row>
    <row r="19" spans="2:4" ht="12.75">
      <c r="B19" s="37" t="s">
        <v>356</v>
      </c>
      <c r="C19" s="84">
        <f>C17-C18</f>
        <v>21000</v>
      </c>
      <c r="D19" s="84">
        <f>D17-D18</f>
        <v>-10000</v>
      </c>
    </row>
    <row r="20" spans="2:4" ht="12.75">
      <c r="B20" s="37" t="s">
        <v>352</v>
      </c>
      <c r="C20" s="84">
        <f>C16+C19</f>
        <v>21000</v>
      </c>
      <c r="D20" s="84">
        <f>D16+D19</f>
        <v>30000</v>
      </c>
    </row>
    <row r="21" spans="2:4" ht="12.75">
      <c r="B21" s="37"/>
      <c r="C21" s="84"/>
      <c r="D21" s="84"/>
    </row>
    <row r="22" spans="2:4" ht="51">
      <c r="B22" s="37" t="s">
        <v>357</v>
      </c>
      <c r="C22" s="84"/>
      <c r="D22" s="84">
        <f>D20-C20</f>
        <v>9000</v>
      </c>
    </row>
  </sheetData>
  <mergeCells count="1">
    <mergeCell ref="B10:D10"/>
  </mergeCells>
  <printOptions/>
  <pageMargins left="0.75" right="0.75" top="1" bottom="1" header="0.4921259845" footer="0.4921259845"/>
  <pageSetup orientation="portrait" paperSize="9"/>
  <ignoredErrors>
    <ignoredError sqref="C18:D18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sheetPr codeName="Tabelle134"/>
  <dimension ref="B4:E2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6.7109375" style="0" customWidth="1"/>
  </cols>
  <sheetData>
    <row r="4" spans="2:4" ht="25.5">
      <c r="B4" s="45" t="s">
        <v>349</v>
      </c>
      <c r="C4" s="49">
        <v>30000</v>
      </c>
      <c r="D4" s="50" t="s">
        <v>106</v>
      </c>
    </row>
    <row r="5" spans="2:4" ht="12.75">
      <c r="B5" s="50" t="s">
        <v>350</v>
      </c>
      <c r="C5" s="49">
        <v>40000</v>
      </c>
      <c r="D5" s="50" t="s">
        <v>106</v>
      </c>
    </row>
    <row r="6" spans="2:4" ht="12.75">
      <c r="B6" s="50" t="s">
        <v>351</v>
      </c>
      <c r="C6" s="51">
        <v>0.3</v>
      </c>
      <c r="D6" s="50"/>
    </row>
    <row r="10" spans="2:5" ht="12.75">
      <c r="B10" s="150" t="s">
        <v>359</v>
      </c>
      <c r="C10" s="150"/>
      <c r="D10" s="150"/>
      <c r="E10" s="150"/>
    </row>
    <row r="11" spans="2:5" ht="12.75">
      <c r="B11" s="37"/>
      <c r="C11" s="37"/>
      <c r="D11" s="37"/>
      <c r="E11" s="2"/>
    </row>
    <row r="12" spans="2:5" ht="12.75">
      <c r="B12" s="37" t="s">
        <v>350</v>
      </c>
      <c r="C12" s="37" t="s">
        <v>354</v>
      </c>
      <c r="D12" s="37" t="s">
        <v>172</v>
      </c>
      <c r="E12" s="2" t="s">
        <v>358</v>
      </c>
    </row>
    <row r="13" spans="2:5" ht="12.75">
      <c r="B13" s="37" t="s">
        <v>353</v>
      </c>
      <c r="C13" s="48">
        <f>'434'!$C$6</f>
        <v>0.3</v>
      </c>
      <c r="D13" s="48">
        <f>'434'!$C$6</f>
        <v>0.3</v>
      </c>
      <c r="E13" s="2"/>
    </row>
    <row r="14" spans="2:5" ht="12.75">
      <c r="B14" s="37"/>
      <c r="C14" s="37"/>
      <c r="D14" s="37"/>
      <c r="E14" s="2"/>
    </row>
    <row r="15" spans="2:5" ht="25.5">
      <c r="B15" s="37" t="s">
        <v>349</v>
      </c>
      <c r="C15" s="84">
        <f>'434'!$C$4</f>
        <v>30000</v>
      </c>
      <c r="D15" s="84">
        <f>'434'!$C$4</f>
        <v>30000</v>
      </c>
      <c r="E15" s="2"/>
    </row>
    <row r="16" spans="2:5" ht="12.75">
      <c r="B16" s="37" t="s">
        <v>350</v>
      </c>
      <c r="C16" s="84">
        <f>IF(C12="Nein",0,'434'!$C$5)</f>
        <v>0</v>
      </c>
      <c r="D16" s="84">
        <f>IF(D12="Nein",0,'434'!$C$5)</f>
        <v>40000</v>
      </c>
      <c r="E16" s="2"/>
    </row>
    <row r="17" spans="2:5" ht="12.75">
      <c r="B17" s="37" t="s">
        <v>355</v>
      </c>
      <c r="C17" s="84">
        <f>C15-C16</f>
        <v>30000</v>
      </c>
      <c r="D17" s="84">
        <f>D15-D16</f>
        <v>-10000</v>
      </c>
      <c r="E17" s="2"/>
    </row>
    <row r="18" spans="2:5" ht="12.75">
      <c r="B18" s="37" t="s">
        <v>353</v>
      </c>
      <c r="C18" s="84">
        <f>IF((C17*'434'!$C$6)&lt;0,0,C17*'434'!$C$6)</f>
        <v>9000</v>
      </c>
      <c r="D18" s="84">
        <f>IF((D17*'434'!$C$6)&lt;0,0,D17*'434'!$C$6)</f>
        <v>0</v>
      </c>
      <c r="E18" s="47">
        <f>C18-D18</f>
        <v>9000</v>
      </c>
    </row>
    <row r="19" spans="2:5" ht="12.75">
      <c r="B19" s="37" t="s">
        <v>360</v>
      </c>
      <c r="C19" s="84">
        <f>C17-C18</f>
        <v>21000</v>
      </c>
      <c r="D19" s="84">
        <f>IF(D18=0,0,D17-D18)</f>
        <v>0</v>
      </c>
      <c r="E19" s="47">
        <f>C19-D19</f>
        <v>21000</v>
      </c>
    </row>
    <row r="20" spans="2:5" ht="12.75">
      <c r="B20" s="37"/>
      <c r="C20" s="84"/>
      <c r="D20" s="84"/>
      <c r="E20" s="2"/>
    </row>
    <row r="21" spans="2:5" ht="51">
      <c r="B21" s="37" t="s">
        <v>361</v>
      </c>
      <c r="C21" s="84"/>
      <c r="D21" s="84"/>
      <c r="E21" s="62">
        <f>SUM(E18:E20)</f>
        <v>30000</v>
      </c>
    </row>
  </sheetData>
  <mergeCells count="1">
    <mergeCell ref="B10:E10"/>
  </mergeCells>
  <printOptions/>
  <pageMargins left="0.75" right="0.75" top="1" bottom="1" header="0.4921259845" footer="0.4921259845"/>
  <pageSetup orientation="portrait" paperSize="9"/>
  <ignoredErrors>
    <ignoredError sqref="C18:D18" formula="1"/>
  </ignoredErrors>
</worksheet>
</file>

<file path=xl/worksheets/sheet87.xml><?xml version="1.0" encoding="utf-8"?>
<worksheet xmlns="http://schemas.openxmlformats.org/spreadsheetml/2006/main" xmlns:r="http://schemas.openxmlformats.org/officeDocument/2006/relationships">
  <sheetPr codeName="Tabelle130"/>
  <dimension ref="B4:D10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9.57421875" style="0" customWidth="1"/>
  </cols>
  <sheetData>
    <row r="4" spans="2:4" ht="12.75">
      <c r="B4" s="45" t="s">
        <v>345</v>
      </c>
      <c r="C4" s="27">
        <v>120000000</v>
      </c>
      <c r="D4" s="3" t="s">
        <v>106</v>
      </c>
    </row>
    <row r="5" spans="2:4" ht="25.5">
      <c r="B5" s="45" t="s">
        <v>346</v>
      </c>
      <c r="C5" s="27">
        <v>20000000</v>
      </c>
      <c r="D5" s="3" t="s">
        <v>106</v>
      </c>
    </row>
    <row r="6" spans="2:4" ht="12.75">
      <c r="B6" s="45" t="s">
        <v>347</v>
      </c>
      <c r="C6" s="3">
        <v>59</v>
      </c>
      <c r="D6" s="3" t="s">
        <v>152</v>
      </c>
    </row>
    <row r="10" spans="2:4" ht="12.75">
      <c r="B10" s="2" t="s">
        <v>348</v>
      </c>
      <c r="C10" s="47">
        <f>('438'!$C$6/360*'438'!$C$4)</f>
        <v>19666666.666666668</v>
      </c>
      <c r="D10" s="2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Tabelle129"/>
  <dimension ref="B4:K21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7.57421875" style="0" customWidth="1"/>
    <col min="4" max="4" width="11.57421875" style="0" bestFit="1" customWidth="1"/>
    <col min="6" max="6" width="5.00390625" style="0" customWidth="1"/>
    <col min="7" max="7" width="7.140625" style="0" customWidth="1"/>
  </cols>
  <sheetData>
    <row r="4" spans="2:4" ht="12.75">
      <c r="B4" s="3" t="s">
        <v>489</v>
      </c>
      <c r="C4" s="3">
        <v>100</v>
      </c>
      <c r="D4" s="3" t="s">
        <v>492</v>
      </c>
    </row>
    <row r="5" spans="2:4" ht="12.75">
      <c r="B5" s="3" t="s">
        <v>490</v>
      </c>
      <c r="C5" s="3">
        <v>37</v>
      </c>
      <c r="D5" s="3" t="s">
        <v>492</v>
      </c>
    </row>
    <row r="6" spans="2:4" ht="12.75">
      <c r="B6" s="3" t="s">
        <v>491</v>
      </c>
      <c r="C6" s="20">
        <v>0.07</v>
      </c>
      <c r="D6" s="3" t="s">
        <v>368</v>
      </c>
    </row>
    <row r="7" spans="2:4" ht="12.75">
      <c r="B7" s="3" t="s">
        <v>330</v>
      </c>
      <c r="C7" s="3">
        <v>22</v>
      </c>
      <c r="D7" s="3"/>
    </row>
    <row r="9" spans="2:4" ht="12.75">
      <c r="B9" s="3" t="s">
        <v>493</v>
      </c>
      <c r="C9" s="3">
        <v>13</v>
      </c>
      <c r="D9" s="3" t="s">
        <v>492</v>
      </c>
    </row>
    <row r="11" spans="2:7" ht="12.75">
      <c r="B11" s="2" t="s">
        <v>301</v>
      </c>
      <c r="C11" s="19">
        <f>$C$4-$C$5</f>
        <v>63</v>
      </c>
      <c r="D11" s="39" t="s">
        <v>331</v>
      </c>
      <c r="E11" s="82">
        <f>($C$11*((1+$C$6)^$C$7)*(((1+$C$6)-1)/(((1+$C$6)^$C$7)-1)))/C11</f>
        <v>0.09040577322513405</v>
      </c>
      <c r="F11" s="80" t="s">
        <v>169</v>
      </c>
      <c r="G11" s="19">
        <f>C11*E11</f>
        <v>5.695563713183445</v>
      </c>
    </row>
    <row r="12" spans="2:7" ht="12.75">
      <c r="B12" s="73" t="s">
        <v>139</v>
      </c>
      <c r="C12" s="115">
        <f>$C$5</f>
        <v>37</v>
      </c>
      <c r="D12" s="116" t="s">
        <v>331</v>
      </c>
      <c r="E12" s="118">
        <f>$C$6</f>
        <v>0.07</v>
      </c>
      <c r="F12" s="119" t="s">
        <v>169</v>
      </c>
      <c r="G12" s="73">
        <f>C12*E12</f>
        <v>2.5900000000000003</v>
      </c>
    </row>
    <row r="13" spans="2:7" ht="4.5" customHeight="1">
      <c r="B13" s="2"/>
      <c r="C13" s="2"/>
      <c r="D13" s="2"/>
      <c r="E13" s="2"/>
      <c r="F13" s="2"/>
      <c r="G13" s="2"/>
    </row>
    <row r="14" spans="2:7" ht="12.75">
      <c r="B14" s="2" t="s">
        <v>494</v>
      </c>
      <c r="C14" s="2"/>
      <c r="D14" s="2"/>
      <c r="E14" s="2"/>
      <c r="F14" s="2"/>
      <c r="G14" s="19">
        <f>G11+G12</f>
        <v>8.285563713183445</v>
      </c>
    </row>
    <row r="15" spans="2:7" ht="12.75">
      <c r="B15" s="3"/>
      <c r="C15" s="3"/>
      <c r="D15" s="3"/>
      <c r="E15" s="3"/>
      <c r="F15" s="3"/>
      <c r="G15" s="3"/>
    </row>
    <row r="16" spans="2:8" ht="12.75">
      <c r="B16" s="3"/>
      <c r="C16" s="3"/>
      <c r="D16" s="3"/>
      <c r="E16" s="3"/>
      <c r="F16" s="3"/>
      <c r="G16" s="3"/>
      <c r="H16" s="6"/>
    </row>
    <row r="17" spans="2:11" ht="12.75">
      <c r="B17" s="2" t="s">
        <v>301</v>
      </c>
      <c r="C17" s="19">
        <f>C9</f>
        <v>13</v>
      </c>
      <c r="D17" s="39" t="s">
        <v>331</v>
      </c>
      <c r="E17" s="82">
        <f>($C$11*((1+$C$6)^$C$7)*(((1+$C$6)-1)/(((1+$C$6)^$C$7)-1)))/C11</f>
        <v>0.09040577322513405</v>
      </c>
      <c r="F17" s="80" t="s">
        <v>169</v>
      </c>
      <c r="G17" s="19">
        <f>C17*E17</f>
        <v>1.1752750519267425</v>
      </c>
      <c r="H17" s="10"/>
      <c r="I17" s="12"/>
      <c r="J17" s="10"/>
      <c r="K17" s="10"/>
    </row>
    <row r="18" spans="2:11" ht="12.75">
      <c r="B18" s="73" t="s">
        <v>139</v>
      </c>
      <c r="C18" s="115">
        <f>$C$5</f>
        <v>37</v>
      </c>
      <c r="D18" s="116" t="s">
        <v>331</v>
      </c>
      <c r="E18" s="118">
        <f>$C$6</f>
        <v>0.07</v>
      </c>
      <c r="F18" s="119" t="s">
        <v>169</v>
      </c>
      <c r="G18" s="73">
        <f>C18*E18</f>
        <v>2.5900000000000003</v>
      </c>
      <c r="H18" s="10"/>
      <c r="I18" s="10"/>
      <c r="J18" s="10"/>
      <c r="K18" s="10"/>
    </row>
    <row r="19" spans="2:7" ht="5.25" customHeight="1">
      <c r="B19" s="2"/>
      <c r="C19" s="2"/>
      <c r="D19" s="2"/>
      <c r="E19" s="2"/>
      <c r="F19" s="2"/>
      <c r="G19" s="2"/>
    </row>
    <row r="20" spans="2:7" ht="12.75">
      <c r="B20" s="2" t="s">
        <v>494</v>
      </c>
      <c r="C20" s="2"/>
      <c r="D20" s="2"/>
      <c r="E20" s="2"/>
      <c r="F20" s="2"/>
      <c r="G20" s="19">
        <f>G17+G18</f>
        <v>3.765275051926743</v>
      </c>
    </row>
    <row r="21" ht="15.75">
      <c r="B21" s="16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B3:F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30.28125" style="8" customWidth="1"/>
    <col min="3" max="16384" width="11.421875" style="8" customWidth="1"/>
  </cols>
  <sheetData>
    <row r="3" ht="12.75">
      <c r="D3" s="23"/>
    </row>
    <row r="4" spans="2:4" ht="12.75">
      <c r="B4" s="23" t="s">
        <v>201</v>
      </c>
      <c r="C4" s="25">
        <v>100000</v>
      </c>
      <c r="D4" s="23" t="s">
        <v>106</v>
      </c>
    </row>
    <row r="5" spans="2:4" ht="12.75">
      <c r="B5" s="23" t="s">
        <v>200</v>
      </c>
      <c r="C5" s="25">
        <v>10000</v>
      </c>
      <c r="D5" s="23" t="s">
        <v>106</v>
      </c>
    </row>
    <row r="6" spans="2:3" ht="12.75">
      <c r="B6" s="23" t="s">
        <v>211</v>
      </c>
      <c r="C6" s="24">
        <v>0.07</v>
      </c>
    </row>
    <row r="9" spans="2:6" ht="12.75">
      <c r="B9" s="26" t="s">
        <v>202</v>
      </c>
      <c r="C9" s="26" t="s">
        <v>93</v>
      </c>
      <c r="D9" s="26" t="s">
        <v>92</v>
      </c>
      <c r="E9" s="26" t="s">
        <v>91</v>
      </c>
      <c r="F9" s="26" t="s">
        <v>90</v>
      </c>
    </row>
    <row r="10" spans="2:6" ht="12.75">
      <c r="B10" s="26" t="s">
        <v>203</v>
      </c>
      <c r="C10" s="44">
        <f>'40'!$C$4</f>
        <v>100000</v>
      </c>
      <c r="D10" s="44">
        <f>'40'!$C$4</f>
        <v>100000</v>
      </c>
      <c r="E10" s="44">
        <f>'40'!$C$4</f>
        <v>100000</v>
      </c>
      <c r="F10" s="44">
        <f>'40'!$C$4</f>
        <v>100000</v>
      </c>
    </row>
    <row r="11" spans="2:6" ht="12.75">
      <c r="B11" s="26" t="s">
        <v>204</v>
      </c>
      <c r="C11" s="122">
        <v>0</v>
      </c>
      <c r="D11" s="44">
        <f>C11+25000</f>
        <v>25000</v>
      </c>
      <c r="E11" s="44">
        <f>D11+25000</f>
        <v>50000</v>
      </c>
      <c r="F11" s="44">
        <f>E11+25000</f>
        <v>75000</v>
      </c>
    </row>
    <row r="12" spans="2:6" ht="12.75">
      <c r="B12" s="26" t="s">
        <v>205</v>
      </c>
      <c r="C12" s="44">
        <f>C10-C11</f>
        <v>100000</v>
      </c>
      <c r="D12" s="44">
        <f>D10-D11</f>
        <v>75000</v>
      </c>
      <c r="E12" s="44">
        <f>E10-E11</f>
        <v>50000</v>
      </c>
      <c r="F12" s="44">
        <f>F10-F11</f>
        <v>25000</v>
      </c>
    </row>
    <row r="13" spans="2:6" ht="12.75">
      <c r="B13" s="26" t="s">
        <v>206</v>
      </c>
      <c r="C13" s="123">
        <f>C11/C12</f>
        <v>0</v>
      </c>
      <c r="D13" s="123">
        <f>D11/D12</f>
        <v>0.3333333333333333</v>
      </c>
      <c r="E13" s="123">
        <f>E11/E12</f>
        <v>1</v>
      </c>
      <c r="F13" s="123">
        <f>F11/F12</f>
        <v>3</v>
      </c>
    </row>
    <row r="14" spans="2:6" ht="12.75">
      <c r="B14" s="26" t="s">
        <v>207</v>
      </c>
      <c r="C14" s="44">
        <f>'40'!$C$5</f>
        <v>10000</v>
      </c>
      <c r="D14" s="44">
        <f>'40'!$C$5</f>
        <v>10000</v>
      </c>
      <c r="E14" s="44">
        <f>'40'!$C$5</f>
        <v>10000</v>
      </c>
      <c r="F14" s="44">
        <f>'40'!$C$5</f>
        <v>10000</v>
      </c>
    </row>
    <row r="15" spans="2:6" ht="12.75">
      <c r="B15" s="124" t="s">
        <v>208</v>
      </c>
      <c r="C15" s="44">
        <f>C11*'40'!$C$6</f>
        <v>0</v>
      </c>
      <c r="D15" s="44">
        <f>D11*'40'!$C$6</f>
        <v>1750.0000000000002</v>
      </c>
      <c r="E15" s="44">
        <f>E11*'40'!$C$6</f>
        <v>3500.0000000000005</v>
      </c>
      <c r="F15" s="44">
        <f>F11*'40'!$C$6</f>
        <v>5250.000000000001</v>
      </c>
    </row>
    <row r="16" spans="2:6" ht="12.75">
      <c r="B16" s="26" t="s">
        <v>209</v>
      </c>
      <c r="C16" s="44">
        <f>C14-C15</f>
        <v>10000</v>
      </c>
      <c r="D16" s="44">
        <f>D14-D15</f>
        <v>8250</v>
      </c>
      <c r="E16" s="44">
        <f>E14-E15</f>
        <v>6500</v>
      </c>
      <c r="F16" s="44">
        <f>F14-F15</f>
        <v>4749.999999999999</v>
      </c>
    </row>
    <row r="17" spans="2:6" ht="12.75">
      <c r="B17" s="26" t="s">
        <v>210</v>
      </c>
      <c r="C17" s="125">
        <f>IF(C11=0,(C14/C10)+((C14/C10)-(0))*(C11/C12),(C14/C10)+((C14/C10)-(C15/C11))*(C11/C12))</f>
        <v>0.1</v>
      </c>
      <c r="D17" s="125">
        <f>IF(D11=0,(D14/D10)+((D14/D10)-(0))*(D11/D12),(D14/D10)+((D14/D10)-(D15/D11))*(D11/D12))</f>
        <v>0.11</v>
      </c>
      <c r="E17" s="125">
        <f>IF(E11=0,(E14/E10)+((E14/E10)-(0))*(E11/E12),(E14/E10)+((E14/E10)-(E15/E11))*(E11/E12))</f>
        <v>0.13</v>
      </c>
      <c r="F17" s="125">
        <f>IF(F11=0,(F14/F10)+((F14/F10)-(0))*(F11/F12),(F14/F10)+((F14/F10)-(F15/F11))*(F11/F12))</f>
        <v>0.19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Beispiele: Grundzüge der Unternehmensfinanzierung</dc:title>
  <dc:subject/>
  <dc:creator>Deutsches Institut für Corporate Finance</dc:creator>
  <cp:keywords/>
  <dc:description/>
  <cp:lastModifiedBy>Prof. Dr. Dr. Dietmar Ernst</cp:lastModifiedBy>
  <dcterms:created xsi:type="dcterms:W3CDTF">2009-09-23T17:12:30Z</dcterms:created>
  <dcterms:modified xsi:type="dcterms:W3CDTF">2009-10-12T06:39:36Z</dcterms:modified>
  <cp:category/>
  <cp:version/>
  <cp:contentType/>
  <cp:contentStatus/>
</cp:coreProperties>
</file>